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bJxAWA+F8oA+G8HpxsIv6MOg5C7KGl3wscyqX6uD6W5F+XI4W372iwAjaAKf6JDuqg70NBLEzhGvanDVr80vNw==" workbookSaltValue="lDrvf6c4O9N6PGgcGM3P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E12" i="8" s="1"/>
  <c r="BA12" i="8"/>
  <c r="AZ12" i="8"/>
  <c r="BG12" i="8" s="1"/>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R19" i="8"/>
  <c r="EL19" i="8"/>
  <c r="AC11" i="11"/>
  <c r="EQ19" i="8"/>
  <c r="AP12" i="11"/>
  <c r="B9" i="6"/>
  <c r="Y11" i="11"/>
  <c r="AT18" i="17"/>
  <c r="N10" i="11"/>
  <c r="N9" i="11"/>
  <c r="F10" i="10"/>
  <c r="D11" i="2"/>
  <c r="N11" i="11"/>
  <c r="ES19" i="8"/>
  <c r="C18" i="7"/>
  <c r="S19" i="13"/>
  <c r="AG19" i="19"/>
  <c r="F9" i="11"/>
  <c r="R8" i="9"/>
  <c r="X12" i="21" s="1"/>
  <c r="CI19" i="8"/>
  <c r="AE19" i="8"/>
  <c r="F17" i="16"/>
  <c r="BL17" i="16" s="1"/>
  <c r="EP19" i="8"/>
  <c r="ER19" i="13"/>
  <c r="AL13" i="16"/>
  <c r="BJ17" i="11"/>
  <c r="V11" i="16"/>
  <c r="BL12" i="11"/>
  <c r="S13" i="16"/>
  <c r="H18" i="16"/>
  <c r="P13" i="16"/>
  <c r="AN13" i="20"/>
  <c r="F15" i="17"/>
  <c r="X11" i="17"/>
  <c r="F17" i="17"/>
  <c r="AQ17" i="17" s="1"/>
  <c r="F9" i="2"/>
  <c r="M13" i="2"/>
  <c r="N13" i="2"/>
  <c r="AL11" i="11"/>
  <c r="AO9" i="11"/>
  <c r="E11" i="6"/>
  <c r="AC10" i="11"/>
  <c r="H13" i="12"/>
  <c r="AJ19" i="8"/>
  <c r="T13" i="12"/>
  <c r="BK15" i="11"/>
  <c r="S9" i="17"/>
  <c r="V11" i="11"/>
  <c r="BI10" i="11"/>
  <c r="Q10" i="21"/>
  <c r="S9" i="14"/>
  <c r="V9" i="14" s="1"/>
  <c r="BI15" i="11"/>
  <c r="BJ11" i="11"/>
  <c r="R10" i="21"/>
  <c r="R13" i="21" s="1"/>
  <c r="R19" i="21" s="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Y19" i="8" l="1"/>
  <c r="C17" i="6"/>
  <c r="E18" i="2"/>
  <c r="F18" i="2" s="1"/>
  <c r="L16" i="14"/>
  <c r="F16" i="17"/>
  <c r="T19" i="8"/>
  <c r="BG16" i="8"/>
  <c r="AW18" i="21"/>
  <c r="AB19" i="8"/>
  <c r="Z13" i="17"/>
  <c r="H12" i="2"/>
  <c r="Z19" i="8"/>
  <c r="C10" i="6"/>
  <c r="I10" i="12" s="1"/>
  <c r="BG10" i="8"/>
  <c r="T10" i="21"/>
  <c r="V10" i="21" s="1"/>
  <c r="V13" i="21" s="1"/>
  <c r="V19" i="21" s="1"/>
  <c r="AO17" i="11"/>
  <c r="AO12" i="11"/>
  <c r="I11" i="7"/>
  <c r="H15" i="2"/>
  <c r="AO16" i="11"/>
  <c r="AL10" i="11"/>
  <c r="H12" i="7"/>
  <c r="B12" i="6"/>
  <c r="L12" i="14"/>
  <c r="B17" i="6"/>
  <c r="C11" i="6"/>
  <c r="I11" i="12" s="1"/>
  <c r="E15" i="6"/>
  <c r="B16" i="6"/>
  <c r="BJ12" i="11"/>
  <c r="BJ15" i="11"/>
  <c r="AO16" i="17"/>
  <c r="V9" i="11"/>
  <c r="BH9" i="11"/>
  <c r="BM12" i="11"/>
  <c r="AP10" i="21"/>
  <c r="X9" i="17"/>
  <c r="BK11" i="11"/>
  <c r="AO12" i="17"/>
  <c r="BF16" i="11"/>
  <c r="BH15" i="16"/>
  <c r="BH9" i="16"/>
  <c r="F15" i="11"/>
  <c r="AY13" i="13"/>
  <c r="BE9" i="13"/>
  <c r="BB13" i="13"/>
  <c r="D12" i="12"/>
  <c r="F12" i="11"/>
  <c r="AQ12" i="11" s="1"/>
  <c r="S17" i="16"/>
  <c r="BF17" i="11"/>
  <c r="Q17" i="20"/>
  <c r="Q18" i="20" s="1"/>
  <c r="BH15" i="11"/>
  <c r="V15" i="11"/>
  <c r="AP16" i="20"/>
  <c r="V12" i="21"/>
  <c r="R12" i="14"/>
  <c r="BK9" i="11"/>
  <c r="BF10" i="11"/>
  <c r="BK12" i="11"/>
  <c r="BL17" i="11"/>
  <c r="P17" i="17"/>
  <c r="BM16" i="11"/>
  <c r="BG10" i="11"/>
  <c r="BH17" i="16"/>
  <c r="BL9" i="11"/>
  <c r="BH11" i="16"/>
  <c r="BF11" i="11"/>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AL18" i="11" l="1"/>
  <c r="F18" i="11"/>
  <c r="Y13" i="11"/>
  <c r="D19" i="5"/>
  <c r="F19" i="7"/>
  <c r="K10" i="1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AO20" i="16"/>
  <c r="AT20" i="16"/>
  <c r="L20" i="16"/>
  <c r="BE20" i="21"/>
  <c r="AR20" i="16"/>
  <c r="AF20" i="11"/>
  <c r="J20" i="21"/>
  <c r="W20" i="11"/>
  <c r="BK20" i="16"/>
  <c r="BD20" i="16"/>
  <c r="U20" i="20"/>
  <c r="J20" i="16"/>
  <c r="T20" i="11"/>
  <c r="AG20" i="11"/>
  <c r="L20" i="17"/>
  <c r="M20" i="16"/>
  <c r="X20" i="16"/>
  <c r="AL20" i="11"/>
  <c r="AM20" i="21"/>
  <c r="G20" i="12"/>
  <c r="AW20" i="17"/>
  <c r="BN20" i="16"/>
  <c r="BB20" i="16"/>
  <c r="AN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T20" i="16"/>
  <c r="AF20" i="16"/>
  <c r="H20" i="11"/>
  <c r="AW20" i="21"/>
  <c r="BH20" i="16"/>
  <c r="S20" i="11"/>
  <c r="AB20" i="17"/>
  <c r="X20" i="17"/>
  <c r="J20" i="12"/>
  <c r="K20" i="11"/>
  <c r="BJ20" i="16"/>
  <c r="R20" i="21"/>
  <c r="BI20" i="16"/>
  <c r="AD20" i="21"/>
  <c r="L20" i="11"/>
  <c r="AP20" i="16"/>
  <c r="AE20" i="21"/>
  <c r="V20" i="20"/>
  <c r="AP20" i="17"/>
  <c r="I20" i="11"/>
  <c r="AT20" i="11"/>
  <c r="AV20" i="17"/>
  <c r="AR20" i="17"/>
  <c r="Q20" i="17"/>
  <c r="R20" i="16"/>
  <c r="AO20" i="11"/>
  <c r="N20" i="17"/>
  <c r="AC20" i="17"/>
  <c r="AK20" i="11"/>
  <c r="O20" i="11"/>
  <c r="H20" i="12"/>
  <c r="AU20" i="21"/>
  <c r="AO20" i="17"/>
  <c r="S20" i="17"/>
  <c r="AW20" i="16"/>
  <c r="AP20" i="21"/>
  <c r="Q20" i="21"/>
  <c r="P20" i="21"/>
  <c r="BS20" i="16"/>
  <c r="N20" i="21"/>
  <c r="H20" i="16"/>
  <c r="AK20" i="17"/>
  <c r="AT20" i="20"/>
  <c r="I20" i="16"/>
  <c r="F20" i="17"/>
  <c r="AC20" i="11"/>
  <c r="AA20" i="17"/>
  <c r="AU20" i="11"/>
  <c r="BF20" i="16"/>
  <c r="AA20" i="21"/>
  <c r="BM20" i="16"/>
  <c r="O12" i="11"/>
  <c r="I20" i="12"/>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<sst xmlns="http://schemas.openxmlformats.org/spreadsheetml/2006/main" count="2102" uniqueCount="918">
  <si>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</si>
  <si>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</si>
  <si>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</si>
  <si>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</si>
  <si>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</si>
  <si>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</si>
  <si>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</si>
  <si>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</si>
  <si>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</si>
  <si>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</si>
  <si>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</si>
  <si>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</si>
  <si>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</si>
  <si>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</si>
  <si>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</si>
  <si>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</si>
  <si>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</si>
  <si>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</si>
  <si>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</si>
  <si>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</si>
  <si>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</si>
  <si>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</si>
  <si>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</si>
  <si>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</si>
  <si>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</si>
  <si>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</si>
  <si>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</si>
  <si>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</si>
  <si>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</si>
  <si>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</si>
  <si>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</si>
  <si>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</si>
  <si>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</si>
  <si>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</si>
  <si>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</si>
  <si>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</si>
  <si>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</si>
  <si>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</si>
  <si>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</si>
  <si>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</si>
  <si>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</si>
  <si>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</si>
  <si>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</si>
  <si>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</si>
  <si>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</si>
  <si>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</si>
  <si>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</si>
  <si>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</si>
  <si>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</si>
  <si>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</si>
  <si>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</si>
  <si>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</si>
  <si>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</si>
  <si>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</si>
  <si>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</si>
  <si>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</si>
  <si>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</si>
  <si>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</si>
  <si>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</si>
  <si>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</si>
  <si>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</si>
  <si>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</si>
  <si>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</si>
  <si>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</si>
  <si>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</si>
  <si>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</si>
  <si>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</si>
  <si>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</si>
  <si>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</si>
  <si>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</si>
  <si>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</si>
  <si>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</si>
  <si>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</si>
  <si>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</si>
  <si>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</si>
  <si>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</si>
  <si>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</si>
  <si>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</si>
  <si>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</si>
  <si>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</si>
  <si>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</si>
  <si>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</si>
  <si>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</si>
  <si>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</si>
  <si>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</si>
  <si>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</si>
  <si>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</si>
  <si>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</si>
  <si>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</si>
  <si>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</si>
  <si>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</si>
  <si>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</si>
  <si>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</si>
  <si>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</si>
  <si>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</si>
  <si>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</si>
  <si>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</si>
  <si>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</si>
  <si>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</si>
  <si>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</si>
  <si>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</si>
  <si>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</si>
  <si>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</si>
  <si>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</si>
  <si>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</si>
  <si>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</si>
  <si>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</si>
  <si>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</si>
  <si>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</si>
  <si>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</si>
  <si>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</si>
  <si>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</si>
  <si>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</si>
  <si>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</si>
  <si>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</si>
  <si>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</si>
  <si>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</si>
  <si>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</si>
  <si>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</si>
  <si>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</si>
  <si>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</si>
  <si>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</si>
  <si>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</si>
  <si>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</si>
  <si>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</si>
  <si>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</si>
  <si>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</si>
  <si>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</si>
  <si>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</si>
  <si>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</si>
  <si>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</si>
  <si>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</si>
  <si>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</si>
  <si>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</si>
  <si>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</si>
  <si>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</si>
  <si>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</si>
  <si>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</si>
  <si>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</si>
  <si>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</si>
  <si>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</si>
  <si>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</si>
  <si>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</si>
  <si>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</si>
  <si>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</si>
  <si>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</si>
  <si>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</si>
  <si>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</si>
  <si>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</si>
  <si>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</si>
  <si>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</si>
  <si>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</si>
  <si>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</si>
  <si>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</si>
  <si>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</si>
  <si>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</si>
  <si>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</si>
  <si>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</si>
  <si>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</si>
  <si>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</si>
  <si>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</si>
  <si>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</si>
  <si>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</si>
  <si>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</si>
  <si>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</si>
  <si>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</si>
  <si>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</si>
  <si>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</si>
  <si>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</si>
  <si>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</si>
  <si>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</si>
  <si>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</si>
  <si>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</si>
  <si>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</si>
  <si>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</si>
  <si>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</si>
  <si>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</si>
  <si>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</si>
  <si>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</si>
  <si>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</si>
  <si>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</si>
  <si>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</si>
  <si>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</si>
  <si>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</si>
  <si>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</si>
  <si>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</si>
  <si>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</si>
  <si>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</si>
  <si>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</si>
  <si>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</si>
  <si>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</si>
  <si>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</si>
  <si>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</si>
  <si>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</si>
  <si>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</si>
  <si>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</si>
  <si>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</si>
  <si>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</si>
  <si>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</si>
  <si>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</si>
  <si>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</si>
  <si>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</si>
  <si>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</si>
  <si>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</si>
  <si>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</si>
  <si>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</si>
  <si>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</si>
  <si>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</si>
  <si>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</si>
  <si>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</si>
  <si>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</si>
  <si>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</si>
  <si>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</si>
  <si>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</si>
  <si>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</si>
  <si>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</si>
  <si>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</si>
  <si>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</si>
  <si>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</si>
  <si>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</si>
  <si>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</si>
  <si>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</si>
  <si>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</si>
  <si>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</si>
  <si>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</si>
  <si>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</si>
  <si>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</si>
  <si>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</si>
  <si>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</si>
  <si>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</si>
  <si>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</si>
  <si>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</si>
  <si>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</si>
  <si>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</si>
  <si>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</si>
  <si>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</si>
  <si>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</si>
  <si>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</si>
  <si>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</si>
  <si>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</si>
  <si>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</si>
  <si>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</si>
  <si>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</si>
  <si>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</si>
  <si>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</si>
  <si>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</si>
  <si>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</si>
  <si>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</si>
  <si>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</si>
  <si>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</si>
  <si>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</si>
  <si>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</si>
  <si>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</si>
  <si>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</si>
  <si>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</si>
  <si>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</si>
  <si>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</si>
  <si>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</si>
  <si>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</si>
  <si>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</si>
  <si>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</si>
  <si>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</si>
  <si>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</si>
  <si>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</si>
  <si>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</si>
  <si>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</si>
  <si>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</si>
  <si>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</si>
  <si>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</si>
  <si>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</si>
  <si>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</si>
  <si>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</si>
  <si>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</si>
  <si>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</si>
  <si>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</si>
  <si>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</si>
  <si>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</si>
  <si>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</si>
  <si>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</si>
  <si>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</si>
  <si>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</si>
  <si>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</si>
  <si>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</si>
  <si>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</si>
  <si>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</si>
  <si>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</si>
  <si>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</si>
  <si>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</si>
  <si>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</si>
  <si>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</si>
  <si>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</si>
  <si>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</si>
  <si>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</si>
  <si>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</si>
  <si>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</si>
  <si>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</si>
  <si>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</si>
  <si>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</si>
  <si>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</si>
  <si>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</si>
  <si>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</si>
  <si>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</si>
  <si>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</si>
  <si>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</si>
  <si>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</si>
  <si>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</si>
  <si>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</si>
  <si>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</si>
  <si>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</si>
  <si>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</si>
  <si>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</si>
  <si>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</si>
  <si>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</si>
  <si>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</si>
  <si>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</si>
  <si>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</si>
  <si>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</si>
  <si>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</si>
  <si>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</si>
  <si>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</si>
  <si>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</si>
  <si>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</si>
  <si>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</si>
  <si>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</si>
  <si>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</si>
  <si>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</si>
  <si>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</si>
  <si>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</si>
  <si>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</si>
  <si>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</si>
  <si>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</si>
  <si>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</si>
  <si>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</si>
  <si>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</si>
  <si>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</si>
  <si>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</si>
  <si>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</si>
  <si>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</si>
  <si>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</si>
  <si>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</si>
  <si>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</si>
  <si>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</si>
  <si>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</si>
  <si>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</si>
  <si>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</si>
  <si>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</si>
  <si>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</si>
  <si>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</si>
  <si>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</si>
  <si>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</si>
  <si>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</si>
  <si>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</si>
  <si>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</si>
  <si>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</si>
  <si>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</si>
  <si>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</si>
  <si>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</si>
  <si>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</si>
  <si>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</si>
  <si>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</si>
  <si>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</si>
  <si>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</si>
  <si>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</si>
  <si>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</si>
  <si>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</si>
  <si>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</si>
  <si>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</si>
  <si>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</si>
  <si>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</si>
  <si>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</si>
  <si>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</si>
  <si>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</si>
  <si>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</si>
  <si>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</si>
  <si>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</si>
  <si>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</si>
  <si>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</si>
  <si>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</si>
  <si>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</si>
  <si>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</si>
  <si>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</si>
  <si>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</si>
  <si>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</si>
  <si>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</si>
  <si>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</si>
  <si>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</si>
  <si>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</si>
  <si>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</si>
  <si>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</si>
  <si>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</si>
  <si>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</si>
  <si>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</si>
  <si>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</si>
  <si>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</si>
  <si>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</si>
  <si>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</si>
  <si>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</si>
  <si>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</si>
  <si>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</si>
  <si>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</si>
  <si>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</si>
  <si>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</si>
  <si>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</si>
  <si>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</si>
  <si>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</si>
  <si>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</si>
  <si>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</si>
  <si>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</si>
  <si>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</si>
  <si>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</si>
  <si>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</si>
  <si>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</si>
  <si>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</si>
  <si>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</si>
  <si>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</si>
  <si>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</si>
  <si>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</si>
  <si>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</si>
  <si>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</si>
  <si>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</si>
  <si>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</si>
  <si>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</si>
  <si>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</si>
  <si>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</si>
  <si>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</si>
  <si>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</si>
  <si>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</si>
  <si>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</si>
  <si>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</si>
  <si>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</si>
  <si>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</si>
  <si>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</si>
  <si>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</si>
  <si>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</si>
  <si>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</si>
  <si>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</si>
  <si>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</si>
  <si>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</si>
  <si>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</si>
  <si>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</si>
  <si>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</si>
  <si>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</si>
  <si>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</si>
  <si>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</si>
  <si>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</si>
  <si>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</si>
  <si>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</si>
  <si>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</si>
  <si>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</si>
  <si>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</si>
  <si>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</si>
  <si>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</si>
  <si>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</si>
  <si>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</si>
  <si>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</si>
  <si>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</si>
  <si>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</si>
  <si>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</si>
  <si>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</si>
  <si>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</si>
  <si>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</si>
  <si>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</si>
  <si>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</si>
  <si>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</si>
  <si>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</si>
  <si>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</si>
  <si>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</si>
  <si>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</si>
  <si>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</si>
  <si>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</si>
  <si>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</si>
  <si>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</si>
  <si>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</si>
  <si>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</si>
  <si>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</si>
  <si>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</si>
  <si>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</si>
  <si>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</si>
  <si>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</si>
  <si>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</si>
  <si>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</si>
  <si>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</si>
  <si>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</si>
  <si>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</si>
  <si>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</si>
  <si>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</si>
  <si>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</si>
  <si>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</si>
  <si>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</si>
  <si>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</si>
  <si>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</si>
  <si>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</si>
  <si>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</si>
  <si>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</si>
  <si>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</si>
  <si>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</si>
  <si>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</si>
  <si>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</si>
  <si>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</si>
  <si>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</si>
  <si>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</si>
  <si>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</si>
  <si>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</si>
  <si>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</si>
  <si>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</si>
  <si>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</si>
  <si>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</si>
  <si>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</si>
  <si>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</si>
  <si>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</si>
  <si>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</si>
  <si>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</si>
  <si>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</si>
  <si>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</si>
  <si>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</si>
  <si>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</si>
  <si>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</si>
  <si>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</si>
  <si>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</si>
  <si>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</si>
  <si>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</si>
  <si>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</si>
  <si>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</si>
  <si>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</si>
  <si>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</si>
  <si>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</si>
  <si>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</si>
  <si>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</si>
  <si>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</si>
  <si>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</si>
  <si>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</si>
  <si>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</si>
  <si>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</si>
  <si>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</si>
  <si>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</si>
  <si>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</si>
  <si>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</si>
  <si>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</si>
  <si>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</si>
  <si>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</si>
  <si>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</si>
  <si>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</si>
  <si>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</si>
  <si>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</si>
  <si>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</si>
  <si>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</si>
  <si>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</si>
  <si>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</si>
  <si>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</si>
  <si>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</si>
  <si>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</si>
  <si>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</si>
  <si>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</si>
  <si>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</si>
  <si>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</si>
  <si>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</si>
  <si>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</si>
  <si>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</si>
  <si>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</si>
  <si>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</si>
  <si>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</si>
  <si>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</si>
  <si>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</si>
  <si>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</si>
  <si>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</si>
  <si>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</si>
  <si>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</si>
  <si>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</si>
  <si>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</si>
  <si>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</si>
  <si>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</si>
  <si>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</si>
  <si>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</si>
  <si>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</si>
  <si>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</si>
  <si>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</si>
  <si>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</si>
  <si>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</si>
  <si>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</si>
  <si>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</si>
  <si>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</si>
  <si>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</si>
  <si>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</si>
  <si>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</si>
  <si>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</si>
  <si>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</si>
  <si>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</si>
  <si>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</si>
  <si>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</si>
  <si>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</si>
  <si>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</si>
  <si>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</si>
  <si>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</si>
  <si>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</si>
  <si>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</si>
  <si>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</si>
  <si>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</si>
  <si>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</si>
  <si>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</si>
  <si>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</si>
  <si>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</si>
  <si>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</si>
  <si>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</si>
  <si>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</si>
  <si>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</si>
  <si>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</si>
  <si>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</si>
  <si>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</si>
  <si>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</si>
  <si>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</si>
  <si>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</si>
  <si>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</si>
  <si>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</si>
  <si>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</si>
  <si>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</si>
  <si>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</si>
  <si>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</si>
  <si>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</si>
  <si>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</si>
  <si>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</si>
  <si>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</si>
  <si>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</si>
  <si>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</si>
  <si>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</si>
  <si>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</si>
  <si>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</si>
  <si>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</si>
  <si>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</si>
  <si>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</si>
  <si>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</si>
  <si>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</si>
  <si>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</si>
  <si>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</si>
  <si>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</si>
  <si>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</si>
  <si>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</si>
  <si>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</si>
  <si>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</si>
  <si>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</si>
  <si>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</si>
  <si>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</si>
  <si>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</si>
  <si>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</si>
  <si>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</si>
  <si>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</si>
  <si>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</si>
  <si>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</si>
  <si>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</si>
  <si>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</si>
  <si>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</si>
  <si>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</si>
  <si>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</si>
  <si>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</si>
  <si>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</si>
  <si>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</si>
  <si>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</si>
  <si>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</si>
  <si>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</si>
  <si>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</si>
  <si>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</si>
  <si>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</si>
  <si>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</si>
  <si>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</si>
  <si>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</si>
  <si>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</si>
  <si>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</si>
  <si>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</si>
  <si>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</si>
  <si>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</si>
  <si>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</si>
  <si>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</si>
  <si>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</si>
  <si>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</si>
  <si>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</si>
  <si>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</si>
  <si>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</si>
  <si>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</si>
  <si>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</si>
  <si>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</si>
  <si>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</si>
  <si>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</si>
  <si>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</si>
  <si>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</si>
  <si>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</si>
  <si>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</si>
  <si>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</si>
  <si>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</si>
  <si>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</si>
  <si>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</si>
  <si>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</si>
  <si>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</si>
  <si>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</si>
  <si>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</si>
  <si>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</si>
  <si>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</si>
  <si>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</si>
  <si>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</si>
  <si>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</si>
  <si>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</si>
  <si>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</si>
  <si>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</si>
  <si>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</si>
  <si>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</si>
  <si>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</si>
  <si>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</si>
  <si>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</si>
  <si>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</si>
  <si>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</si>
  <si>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</si>
  <si>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</si>
  <si>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</si>
  <si>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</si>
  <si>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</si>
  <si>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</si>
  <si>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</si>
  <si>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</si>
  <si>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</si>
  <si>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</si>
  <si>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</si>
  <si>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</si>
  <si>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</si>
  <si>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</si>
  <si>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</si>
  <si>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</si>
  <si>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</si>
  <si>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</si>
  <si>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</si>
  <si>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</si>
  <si>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</si>
  <si>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</si>
  <si>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</si>
  <si>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</si>
  <si>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</si>
  <si>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</si>
  <si>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</si>
  <si>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</si>
  <si>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</si>
  <si>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</si>
  <si>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</si>
  <si>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</si>
  <si>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</si>
  <si>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</si>
  <si>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</si>
  <si>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</si>
  <si>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</si>
  <si>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</si>
  <si>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</si>
  <si>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</si>
  <si>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</si>
  <si>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</si>
  <si>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</si>
  <si>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</si>
  <si>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</si>
  <si>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</si>
  <si>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</si>
  <si>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</si>
  <si>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</si>
  <si>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</si>
  <si>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</si>
  <si>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</si>
  <si>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</si>
  <si>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</si>
  <si>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</si>
  <si>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</si>
  <si>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</si>
  <si>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</si>
  <si>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</si>
  <si>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</si>
  <si>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</si>
  <si>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</si>
  <si>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</si>
  <si>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</si>
  <si>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</si>
  <si>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</si>
  <si>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</si>
  <si>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</si>
  <si>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</si>
  <si>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</si>
  <si>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</si>
  <si>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</si>
  <si>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</si>
  <si>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</si>
  <si>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</si>
  <si>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</si>
  <si>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</si>
  <si>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</si>
  <si>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</si>
  <si>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</si>
  <si>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</si>
  <si>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</si>
  <si>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</si>
  <si>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</si>
  <si>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</si>
  <si>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</si>
  <si>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</si>
  <si>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</si>
  <si>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</si>
  <si>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</si>
  <si>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</si>
  <si>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</si>
  <si>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</si>
  <si>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</si>
  <si>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</si>
  <si>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</si>
  <si>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</si>
  <si>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</si>
  <si>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</si>
  <si>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</si>
  <si>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</si>
  <si>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</si>
  <si>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</si>
  <si>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</si>
  <si>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</si>
  <si>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</si>
  <si>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</si>
  <si>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</si>
  <si>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</si>
  <si>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</si>
  <si>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</si>
  <si>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</si>
  <si>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</si>
  <si>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</si>
  <si>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</si>
  <si>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</si>
  <si>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</si>
  <si>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</si>
  <si>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</si>
  <si>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</si>
  <si>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</si>
  <si>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</si>
  <si>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</si>
  <si>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</si>
  <si>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</si>
  <si>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</si>
  <si>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</si>
  <si>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</si>
  <si>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</si>
  <si>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</si>
  <si>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</si>
  <si>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</si>
  <si>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</si>
  <si>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</si>
  <si>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</si>
  <si>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</si>
  <si>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</si>
  <si>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</si>
  <si>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</si>
  <si>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</si>
  <si>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</si>
  <si>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</si>
  <si>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</si>
  <si>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</si>
  <si>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</si>
  <si>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</si>
  <si>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</si>
  <si>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</si>
  <si>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</si>
  <si>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</si>
  <si>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</si>
  <si>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</si>
  <si>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</si>
  <si>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</si>
  <si>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</si>
  <si>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</si>
  <si>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</si>
  <si>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</si>
  <si>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</si>
  <si>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</si>
  <si>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</si>
  <si>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</si>
  <si>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</si>
  <si>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</si>
  <si>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</si>
  <si>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</si>
  <si>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</si>
  <si>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</si>
  <si>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</si>
  <si>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</si>
  <si>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</si>
  <si>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</si>
  <si>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</si>
  <si>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</si>
  <si>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</si>
  <si>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</si>
  <si>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</si>
  <si>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</si>
  <si>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</si>
  <si>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</si>
  <si>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</si>
  <si>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</si>
  <si>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</si>
  <si>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</si>
  <si>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</si>
  <si>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</si>
  <si>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</si>
  <si>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</si>
  <si>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</si>
  <si>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</si>
  <si>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</si>
  <si>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</si>
  <si>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</si>
  <si>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</si>
  <si>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</si>
  <si>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</si>
  <si>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</si>
  <si>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</si>
  <si>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</si>
  <si>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</si>
  <si>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</si>
  <si>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</si>
  <si>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</si>
  <si>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</si>
  <si>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</si>
  <si>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</si>
  <si>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</si>
  <si>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TARRAGONA</t>
  </si>
  <si>
    <t>Resumenes por Partidos Judiciales</t>
  </si>
  <si>
    <t>VENDRELL,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</si>
</sst>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XYkX+Zydesoeo1Nar05qZtxEx6pne+/w2/lqo9lmH8jDXbqC4E//23JHQoYVJVBTPbkD2yj4+nysQK4HIACzA==" saltValue="hbkx/cymfPt+ABPZ81A6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88</v>
      </c>
      <c r="D10" s="224">
        <f>IF(ISNUMBER(Datos!I10),Datos!I10," - ")</f>
        <v>88</v>
      </c>
      <c r="E10" s="225">
        <f>IF(ISNUMBER(Datos!J10),Datos!J10," - ")</f>
        <v>44</v>
      </c>
      <c r="F10" s="225">
        <f>IF(ISNUMBER(Datos!K10),Datos!K10," - ")</f>
        <v>36</v>
      </c>
      <c r="G10" s="1033" t="str">
        <f>IF(Datos!E10&lt;&gt;"",Datos!E10,Datos!D10)</f>
        <v>37</v>
      </c>
      <c r="H10" s="226">
        <f>IF(ISNUMBER(Datos!L10),Datos!L10," - ")</f>
        <v>96</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29.333333333333332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37.824116743471585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88</v>
      </c>
      <c r="D13" s="1048">
        <f>SUBTOTAL(9,D9:D12)</f>
        <v>88</v>
      </c>
      <c r="E13" s="1049">
        <f>SUBTOTAL(9,E9:E12)</f>
        <v>44</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6313</v>
      </c>
      <c r="D16" s="224">
        <f>IF(ISNUMBER(IF(D_I="SI",Datos!I16,Datos!I16+Datos!AC16)),IF(D_I="SI",Datos!I16,Datos!I16+Datos!AC16)," - ")</f>
        <v>6468</v>
      </c>
      <c r="E16" s="225">
        <f>IF(ISNUMBER(IF(D_I="SI",Datos!J16,Datos!J16+Datos!AD16)),IF(D_I="SI",Datos!J16,Datos!J16+Datos!AD16)," - ")</f>
        <v>2292</v>
      </c>
      <c r="F16" s="225">
        <f>IF(ISNUMBER(IF(D_I="SI",Datos!K16,Datos!K16+Datos!AE16)),IF(D_I="SI",Datos!K16,Datos!K16+Datos!AE16)," - ")</f>
        <v>2023</v>
      </c>
      <c r="G16" s="1033" t="str">
        <f>IF(Datos!E16&lt;&gt;"",Datos!E16,Datos!D16)</f>
        <v>04</v>
      </c>
      <c r="H16" s="226">
        <f>IF(ISNUMBER(IF(D_I="SI",Datos!L16,Datos!L16+Datos!AF16)),IF(D_I="SI",Datos!L16,Datos!L16+Datos!AF16)," - ")</f>
        <v>6582</v>
      </c>
      <c r="I16" s="1043" t="str">
        <f>IF(ISNUMBER(Datos!AS16/Datos!BM16),Datos!AS16/Datos!BM16," - ")</f>
        <v xml:space="preserve"> - </v>
      </c>
      <c r="J16" s="1044">
        <f>IF(ISNUMBER(Datos!BY16/Datos!CN16),Datos!BY16/Datos!CN16," - ")</f>
        <v>0</v>
      </c>
      <c r="K16" s="229">
        <f t="shared" si="3"/>
        <v>4.2610486298115001E-2</v>
      </c>
      <c r="L16" s="1024">
        <f>IF(ISNUMBER(NºAsuntos!I16/NºAsuntos!G16),(NºAsuntos!I16/NºAsuntos!G16)*11," - ")</f>
        <v>35.789421651013342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85</v>
      </c>
      <c r="D17" s="224">
        <f>IF(ISNUMBER(IF(D_I="SI",Datos!I17,Datos!I17+Datos!AC17)),IF(D_I="SI",Datos!I17,Datos!I17+Datos!AC17)," - ")</f>
        <v>79</v>
      </c>
      <c r="E17" s="225">
        <f>IF(ISNUMBER(IF(D_I="SI",Datos!J17,Datos!J17+Datos!AD17)),IF(D_I="SI",Datos!J17,Datos!J17+Datos!AD17)," - ")</f>
        <v>193</v>
      </c>
      <c r="F17" s="225">
        <f>IF(ISNUMBER(IF(D_I="SI",Datos!K17,Datos!K17+Datos!AE17)),IF(D_I="SI",Datos!K17,Datos!K17+Datos!AE17)," - ")</f>
        <v>207</v>
      </c>
      <c r="G17" s="1033" t="str">
        <f>IF(Datos!E17&lt;&gt;"",Datos!E17,Datos!D17)</f>
        <v>37</v>
      </c>
      <c r="H17" s="226">
        <f>IF(ISNUMBER(IF(D_I="SI",Datos!L17,Datos!L17+Datos!AF17)),IF(D_I="SI",Datos!L17,Datos!L17+Datos!AF17)," - ")</f>
        <v>71</v>
      </c>
      <c r="I17" s="1043" t="str">
        <f>IF(ISNUMBER(Datos!AS17/Datos!BM17),Datos!AS17/Datos!BM17," - ")</f>
        <v xml:space="preserve"> - </v>
      </c>
      <c r="J17" s="1044" t="str">
        <f>IF(ISNUMBER((Datos!BY17+Datos!BZ17)/Datos!CN17),(Datos!BY17+Datos!BZ17)/Datos!CN17," - ")</f>
        <v xml:space="preserve"> - </v>
      </c>
      <c r="K17" s="229">
        <f t="shared" si="3"/>
        <v>-0.16470588235294117</v>
      </c>
      <c r="L17" s="1024">
        <f>IF(ISNUMBER(NºAsuntos!I17/NºAsuntos!G17),(NºAsuntos!I17/NºAsuntos!G17)*11," - ")</f>
        <v>3.772946859903382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6398</v>
      </c>
      <c r="D18" s="1048">
        <f>SUBTOTAL(9,D15:D17)</f>
        <v>6547</v>
      </c>
      <c r="E18" s="1049">
        <f>SUBTOTAL(9,E15:E17)</f>
        <v>2485</v>
      </c>
      <c r="F18" s="1049">
        <f>SUBTOTAL(9,F15:F17)</f>
        <v>2230</v>
      </c>
      <c r="G18" s="1051" t="str">
        <f ca="1">INDIRECT(CONCATENATE("G",ROW()-1))</f>
        <v>37</v>
      </c>
      <c r="H18" s="1052">
        <f ca="1">SUMIF(G$14:G17,G18,H$14:H17)</f>
        <v>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6486</v>
      </c>
      <c r="D19" s="1070">
        <f>SUBTOTAL(9,D9:D18)</f>
        <v>6635</v>
      </c>
      <c r="E19" s="1071">
        <f>SUBTOTAL(9,E9:E18)</f>
        <v>2529</v>
      </c>
      <c r="F19" s="1071">
        <f>SUBTOTAL(9,F9:F18)</f>
        <v>2266</v>
      </c>
      <c r="G19" s="1072"/>
      <c r="H19" s="1073">
        <f ca="1">SUMIF(B9:B18,"TOTAL",H9:H18)</f>
        <v>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Q1y4diLB68F1W5DKtqTcnZmh58C/9Y26CUDHnq6gUdtA4MAEYi2UWPslunLAT2KSa4i8jRCoVPqjidosZ4Zzw==" saltValue="+H8OYri3WGlhwGDCmHdG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AHZH/2ilihMMluZg3OGxvuDZJbredKKrBdYM592tOisEUOzjoJV4ZZzEov7rdMLvi6rGPq6sYwxBnJ+hp1Cug==" saltValue="TFcRsWfXwmT5YB1Ihtjn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88</v>
      </c>
      <c r="J10" s="180">
        <v>44</v>
      </c>
      <c r="K10" s="180">
        <v>36</v>
      </c>
      <c r="L10" s="180">
        <v>96</v>
      </c>
      <c r="M10" s="180">
        <v>12</v>
      </c>
      <c r="N10" s="180">
        <v>17</v>
      </c>
      <c r="O10" s="180">
        <v>11</v>
      </c>
      <c r="P10" s="180">
        <v>19</v>
      </c>
      <c r="Q10" s="180">
        <v>5</v>
      </c>
      <c r="R10" s="180">
        <v>136</v>
      </c>
      <c r="S10" s="180">
        <v>97</v>
      </c>
      <c r="T10" s="180">
        <v>50</v>
      </c>
      <c r="U10" s="180">
        <v>54</v>
      </c>
      <c r="V10" s="180">
        <v>93</v>
      </c>
      <c r="W10" s="180">
        <v>17</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97</v>
      </c>
      <c r="AZ10" s="129">
        <f t="shared" si="0"/>
        <v>50</v>
      </c>
      <c r="BA10" s="129">
        <f t="shared" si="0"/>
        <v>54</v>
      </c>
      <c r="BB10" s="129">
        <f t="shared" si="0"/>
        <v>93</v>
      </c>
      <c r="BC10" s="125">
        <f t="shared" si="0"/>
        <v>17</v>
      </c>
      <c r="BD10" s="126">
        <f>IF(ISNUMBER(BA10/AZ10),BA10/AZ10," - ")</f>
        <v>1.08</v>
      </c>
      <c r="BE10" s="127">
        <f>IF(ISNUMBER(BB10/BA10),BB10/BA10, " - ")</f>
        <v>1.7222222222222223</v>
      </c>
      <c r="BF10" s="127">
        <f>IF(ISNUMBER(BC10/BA10),BC10/BA10, " - ")</f>
        <v>0.31481481481481483</v>
      </c>
      <c r="BG10" s="195">
        <f>IF(ISNUMBER((AY10+AZ10)/BA10),(AY10+AZ10)/BA10," - ")</f>
        <v>2.7222222222222223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9190</v>
      </c>
      <c r="J12" s="182">
        <v>2041</v>
      </c>
      <c r="K12" s="182">
        <v>2493</v>
      </c>
      <c r="L12" s="182">
        <v>8738</v>
      </c>
      <c r="M12" s="182">
        <v>627</v>
      </c>
      <c r="N12" s="182">
        <v>1230</v>
      </c>
      <c r="O12" s="180">
        <v>926</v>
      </c>
      <c r="P12" s="182">
        <v>1056</v>
      </c>
      <c r="Q12" s="182">
        <v>716</v>
      </c>
      <c r="R12" s="182">
        <v>16483</v>
      </c>
      <c r="S12" s="182">
        <v>8507</v>
      </c>
      <c r="T12" s="182">
        <v>2629</v>
      </c>
      <c r="U12" s="182">
        <v>2312</v>
      </c>
      <c r="V12" s="182">
        <v>8824</v>
      </c>
      <c r="W12" s="182">
        <v>557</v>
      </c>
      <c r="X12" s="188">
        <v>671</v>
      </c>
      <c r="Y12" s="190">
        <v>206</v>
      </c>
      <c r="Z12" s="180">
        <v>121</v>
      </c>
      <c r="AA12" s="180">
        <v>111</v>
      </c>
      <c r="AB12" s="180">
        <v>216</v>
      </c>
      <c r="AC12" s="182">
        <v>0</v>
      </c>
      <c r="AD12" s="182">
        <v>0</v>
      </c>
      <c r="AE12" s="182">
        <v>0</v>
      </c>
      <c r="AF12" s="188">
        <v>0</v>
      </c>
      <c r="AG12" s="201">
        <v>165</v>
      </c>
      <c r="AH12" s="182">
        <v>104</v>
      </c>
      <c r="AI12" s="182">
        <v>113</v>
      </c>
      <c r="AJ12" s="202">
        <v>156</v>
      </c>
      <c r="AK12" s="181">
        <v>0</v>
      </c>
      <c r="AL12" s="182">
        <v>0</v>
      </c>
      <c r="AM12" s="182">
        <v>0</v>
      </c>
      <c r="AN12" s="188">
        <v>0</v>
      </c>
      <c r="AO12" s="258">
        <v>9</v>
      </c>
      <c r="AP12" s="154">
        <v>9</v>
      </c>
      <c r="AQ12" s="154">
        <v>9</v>
      </c>
      <c r="AR12" s="153">
        <v>9</v>
      </c>
      <c r="AS12" s="339" t="s">
        <v>794</v>
      </c>
      <c r="AT12" s="202"/>
      <c r="AU12" s="201"/>
      <c r="AV12" s="202"/>
      <c r="AW12" s="201"/>
      <c r="AX12" s="202"/>
      <c r="AY12" s="126">
        <f t="shared" si="1"/>
        <v>8672</v>
      </c>
      <c r="AZ12" s="127">
        <f t="shared" si="1"/>
        <v>2733</v>
      </c>
      <c r="BA12" s="127">
        <f t="shared" si="1"/>
        <v>2425</v>
      </c>
      <c r="BB12" s="127">
        <f t="shared" si="1"/>
        <v>8980</v>
      </c>
      <c r="BC12" s="125">
        <f>IF(ISNUMBER(X12),X12," - ")</f>
        <v>671</v>
      </c>
      <c r="BD12" s="126">
        <f t="shared" si="2"/>
        <v>0.88730332967435055</v>
      </c>
      <c r="BE12" s="127">
        <f t="shared" si="3"/>
        <v>3.7030927835051548</v>
      </c>
      <c r="BF12" s="127">
        <f t="shared" si="4"/>
        <v>0.27670103092783505</v>
      </c>
      <c r="BG12" s="195">
        <f t="shared" si="5"/>
        <v>4.7030927835051548</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9278</v>
      </c>
      <c r="J13" s="183">
        <f t="shared" si="6"/>
        <v>2085</v>
      </c>
      <c r="K13" s="183">
        <f t="shared" si="6"/>
        <v>2529</v>
      </c>
      <c r="L13" s="183">
        <f t="shared" si="6"/>
        <v>8834</v>
      </c>
      <c r="M13" s="183">
        <f t="shared" si="6"/>
        <v>639</v>
      </c>
      <c r="N13" s="183">
        <f t="shared" si="6"/>
        <v>1247</v>
      </c>
      <c r="O13" s="183">
        <f t="shared" si="6"/>
        <v>937</v>
      </c>
      <c r="P13" s="183">
        <f t="shared" si="6"/>
        <v>1075</v>
      </c>
      <c r="Q13" s="183">
        <f t="shared" si="6"/>
        <v>721</v>
      </c>
      <c r="R13" s="183">
        <f t="shared" si="6"/>
        <v>16619</v>
      </c>
      <c r="S13" s="183">
        <f t="shared" si="6"/>
        <v>8604</v>
      </c>
      <c r="T13" s="183">
        <f t="shared" si="6"/>
        <v>2679</v>
      </c>
      <c r="U13" s="183">
        <f t="shared" si="6"/>
        <v>2366</v>
      </c>
      <c r="V13" s="183">
        <f t="shared" si="6"/>
        <v>8917</v>
      </c>
      <c r="W13" s="183">
        <f t="shared" si="6"/>
        <v>574</v>
      </c>
      <c r="X13" s="183">
        <f t="shared" si="6"/>
        <v>692</v>
      </c>
      <c r="Y13" s="183">
        <f t="shared" si="6"/>
        <v>206</v>
      </c>
      <c r="Z13" s="183">
        <f t="shared" si="6"/>
        <v>121</v>
      </c>
      <c r="AA13" s="183">
        <f t="shared" si="6"/>
        <v>111</v>
      </c>
      <c r="AB13" s="183">
        <f t="shared" si="6"/>
        <v>216</v>
      </c>
      <c r="AC13" s="183">
        <f t="shared" si="6"/>
        <v>0</v>
      </c>
      <c r="AD13" s="183">
        <f t="shared" si="6"/>
        <v>0</v>
      </c>
      <c r="AE13" s="183">
        <f t="shared" si="6"/>
        <v>0</v>
      </c>
      <c r="AF13" s="183">
        <f>SUBTOTAL(9,AF9:AF12)</f>
        <v>0</v>
      </c>
      <c r="AG13" s="183">
        <f t="shared" ref="AG13:AT13" si="7">SUBTOTAL(9,AG8:AG12)</f>
        <v>165</v>
      </c>
      <c r="AH13" s="183">
        <f t="shared" si="7"/>
        <v>104</v>
      </c>
      <c r="AI13" s="183">
        <f t="shared" si="7"/>
        <v>113</v>
      </c>
      <c r="AJ13" s="183">
        <f t="shared" si="7"/>
        <v>156</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8769</v>
      </c>
      <c r="AZ13" s="183">
        <f>SUBTOTAL(9,AZ8:AZ12)</f>
        <v>2783</v>
      </c>
      <c r="BA13" s="183">
        <f>SUBTOTAL(9,BA8:BA12)</f>
        <v>2479</v>
      </c>
      <c r="BB13" s="183">
        <f>SUBTOTAL(9,BB8:BB12)</f>
        <v>9073</v>
      </c>
      <c r="BC13" s="183">
        <f>SUBTOTAL(9,BC8:BC12)</f>
        <v>688</v>
      </c>
      <c r="BD13" s="204">
        <f>IF(ISNUMBER(BA13/AZ13),BA13/AZ13," - ")</f>
        <v>0.89076536112109239</v>
      </c>
      <c r="BE13" s="205">
        <f>IF(ISNUMBER(BB13/BA13),BB13/BA13, " - ")</f>
        <v>3.6599435256151676</v>
      </c>
      <c r="BF13" s="205">
        <f>IF(ISNUMBER(BC13/BA13),BC13/BA13, " - ")</f>
        <v>0.27753126260588945</v>
      </c>
      <c r="BG13" s="206">
        <f>IF(ISNUMBER((AY13+AZ13)/BA13),(AY13+AZ13)/BA13," - ")</f>
        <v>4.6599435256151676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6468</v>
      </c>
      <c r="J16" s="182">
        <v>2292</v>
      </c>
      <c r="K16" s="182">
        <v>2023</v>
      </c>
      <c r="L16" s="182">
        <v>6582</v>
      </c>
      <c r="M16" s="182">
        <v>232</v>
      </c>
      <c r="N16" s="182">
        <v>1285</v>
      </c>
      <c r="O16" s="180">
        <v>4</v>
      </c>
      <c r="P16" s="182">
        <v>30</v>
      </c>
      <c r="Q16" s="182">
        <v>23</v>
      </c>
      <c r="R16" s="182">
        <v>371</v>
      </c>
      <c r="S16" s="182">
        <v>5288</v>
      </c>
      <c r="T16" s="182">
        <v>2457</v>
      </c>
      <c r="U16" s="182">
        <v>2534</v>
      </c>
      <c r="V16" s="182">
        <v>5223</v>
      </c>
      <c r="W16" s="182">
        <v>301</v>
      </c>
      <c r="X16" s="188">
        <v>1486</v>
      </c>
      <c r="Y16" s="201">
        <v>0</v>
      </c>
      <c r="Z16" s="182">
        <v>0</v>
      </c>
      <c r="AA16" s="182">
        <v>0</v>
      </c>
      <c r="AB16" s="182">
        <v>0</v>
      </c>
      <c r="AC16" s="182">
        <v>0</v>
      </c>
      <c r="AD16" s="182">
        <v>108</v>
      </c>
      <c r="AE16" s="182">
        <v>106</v>
      </c>
      <c r="AF16" s="188">
        <v>2</v>
      </c>
      <c r="AG16" s="201">
        <v>0</v>
      </c>
      <c r="AH16" s="182">
        <v>0</v>
      </c>
      <c r="AI16" s="182">
        <v>0</v>
      </c>
      <c r="AJ16" s="202">
        <v>0</v>
      </c>
      <c r="AK16" s="181">
        <v>0</v>
      </c>
      <c r="AL16" s="182">
        <v>66</v>
      </c>
      <c r="AM16" s="182">
        <v>66</v>
      </c>
      <c r="AN16" s="188">
        <v>0</v>
      </c>
      <c r="AO16" s="258">
        <v>9</v>
      </c>
      <c r="AP16" s="154">
        <v>9</v>
      </c>
      <c r="AQ16" s="154">
        <v>9</v>
      </c>
      <c r="AR16" s="154">
        <v>9</v>
      </c>
      <c r="AS16" s="339" t="s">
        <v>487</v>
      </c>
      <c r="AT16" s="202"/>
      <c r="AU16" s="201"/>
      <c r="AV16" s="202"/>
      <c r="AW16" s="201"/>
      <c r="AX16" s="202"/>
      <c r="AY16" s="126">
        <f t="shared" si="9"/>
        <v>5288</v>
      </c>
      <c r="AZ16" s="127">
        <f t="shared" si="9"/>
        <v>2457</v>
      </c>
      <c r="BA16" s="127">
        <f t="shared" si="9"/>
        <v>2534</v>
      </c>
      <c r="BB16" s="127">
        <f t="shared" si="9"/>
        <v>5223</v>
      </c>
      <c r="BC16" s="125">
        <f>IF(ISNUMBER(W16),W16," - ")</f>
        <v>301</v>
      </c>
      <c r="BD16" s="126">
        <f t="shared" ref="BD16" si="11">IF(ISNUMBER(BA16/AZ16),BA16/AZ16," - ")</f>
        <v>1.0313390313390314</v>
      </c>
      <c r="BE16" s="127">
        <f t="shared" ref="BE16" si="12">IF(ISNUMBER(BB16/BA16),BB16/BA16, " - ")</f>
        <v>2.0611681136543014</v>
      </c>
      <c r="BF16" s="127">
        <f t="shared" ref="BF16" si="13">IF(ISNUMBER(BC16/BA16),BC16/BA16, " - ")</f>
        <v>0.11878453038674033</v>
      </c>
      <c r="BG16" s="195">
        <f t="shared" si="10"/>
        <v>3.0564325177584846</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79</v>
      </c>
      <c r="J17" s="182">
        <v>193</v>
      </c>
      <c r="K17" s="182">
        <v>207</v>
      </c>
      <c r="L17" s="182">
        <v>71</v>
      </c>
      <c r="M17" s="182">
        <v>24</v>
      </c>
      <c r="N17" s="182">
        <v>125</v>
      </c>
      <c r="O17" s="182">
        <v>1</v>
      </c>
      <c r="P17" s="182">
        <v>0</v>
      </c>
      <c r="Q17" s="182">
        <v>1</v>
      </c>
      <c r="R17" s="182">
        <v>0</v>
      </c>
      <c r="S17" s="182">
        <v>106</v>
      </c>
      <c r="T17" s="182">
        <v>219</v>
      </c>
      <c r="U17" s="182">
        <v>243</v>
      </c>
      <c r="V17" s="182">
        <v>92</v>
      </c>
      <c r="W17" s="182">
        <v>14</v>
      </c>
      <c r="X17" s="188">
        <v>140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106</v>
      </c>
      <c r="AZ17" s="129">
        <f t="shared" si="14"/>
        <v>219</v>
      </c>
      <c r="BA17" s="129">
        <f t="shared" si="14"/>
        <v>243</v>
      </c>
      <c r="BB17" s="129">
        <f t="shared" si="14"/>
        <v>92</v>
      </c>
      <c r="BC17" s="125">
        <f>IF(ISNUMBER(W17),W17," - ")</f>
        <v>14</v>
      </c>
      <c r="BD17" s="126">
        <f>IF(ISNUMBER(BA17/AZ17),BA17/AZ17," - ")</f>
        <v>1.1095890410958904</v>
      </c>
      <c r="BE17" s="127">
        <f>IF(ISNUMBER(BB17/BA17),BB17/BA17, " - ")</f>
        <v>0.37860082304526749</v>
      </c>
      <c r="BF17" s="127">
        <f>IF(ISNUMBER(BC17/BA17),BC17/BA17, " - ")</f>
        <v>5.7613168724279837E-2</v>
      </c>
      <c r="BG17" s="195">
        <f>IF(ISNUMBER((AY17+AZ17)/BA17),(AY17+AZ17)/BA17," - ")</f>
        <v>1.3374485596707819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6547</v>
      </c>
      <c r="J18" s="183">
        <f t="shared" si="15"/>
        <v>2485</v>
      </c>
      <c r="K18" s="183">
        <f t="shared" si="15"/>
        <v>2230</v>
      </c>
      <c r="L18" s="183">
        <f t="shared" si="15"/>
        <v>6653</v>
      </c>
      <c r="M18" s="183">
        <f t="shared" si="15"/>
        <v>256</v>
      </c>
      <c r="N18" s="183">
        <f t="shared" si="15"/>
        <v>1410</v>
      </c>
      <c r="O18" s="183">
        <f t="shared" si="15"/>
        <v>5</v>
      </c>
      <c r="P18" s="183">
        <f t="shared" si="15"/>
        <v>30</v>
      </c>
      <c r="Q18" s="183">
        <f t="shared" si="15"/>
        <v>24</v>
      </c>
      <c r="R18" s="183">
        <f t="shared" si="15"/>
        <v>371</v>
      </c>
      <c r="S18" s="183">
        <f t="shared" si="15"/>
        <v>5394</v>
      </c>
      <c r="T18" s="183">
        <f t="shared" si="15"/>
        <v>2676</v>
      </c>
      <c r="U18" s="183">
        <f t="shared" si="15"/>
        <v>2777</v>
      </c>
      <c r="V18" s="183">
        <f t="shared" si="15"/>
        <v>5315</v>
      </c>
      <c r="W18" s="183">
        <f t="shared" si="15"/>
        <v>315</v>
      </c>
      <c r="X18" s="183">
        <f t="shared" si="15"/>
        <v>1626</v>
      </c>
      <c r="Y18" s="183">
        <f t="shared" si="15"/>
        <v>0</v>
      </c>
      <c r="Z18" s="183">
        <f t="shared" si="15"/>
        <v>0</v>
      </c>
      <c r="AA18" s="183">
        <f t="shared" si="15"/>
        <v>0</v>
      </c>
      <c r="AB18" s="183">
        <f t="shared" si="15"/>
        <v>0</v>
      </c>
      <c r="AC18" s="183">
        <f t="shared" si="15"/>
        <v>0</v>
      </c>
      <c r="AD18" s="183">
        <f t="shared" si="15"/>
        <v>108</v>
      </c>
      <c r="AE18" s="183">
        <f t="shared" si="15"/>
        <v>106</v>
      </c>
      <c r="AF18" s="183">
        <f t="shared" si="15"/>
        <v>2</v>
      </c>
      <c r="AG18" s="183">
        <f t="shared" si="15"/>
        <v>0</v>
      </c>
      <c r="AH18" s="183">
        <f t="shared" si="15"/>
        <v>0</v>
      </c>
      <c r="AI18" s="183">
        <f t="shared" si="15"/>
        <v>0</v>
      </c>
      <c r="AJ18" s="183">
        <f t="shared" si="15"/>
        <v>0</v>
      </c>
      <c r="AK18" s="183">
        <f t="shared" si="15"/>
        <v>0</v>
      </c>
      <c r="AL18" s="183">
        <f t="shared" si="15"/>
        <v>66</v>
      </c>
      <c r="AM18" s="183">
        <f t="shared" si="15"/>
        <v>66</v>
      </c>
      <c r="AN18" s="183">
        <f t="shared" si="15"/>
        <v>0</v>
      </c>
      <c r="AO18" s="183">
        <f t="shared" si="15"/>
        <v>10</v>
      </c>
      <c r="AP18" s="183">
        <f t="shared" si="15"/>
        <v>10</v>
      </c>
      <c r="AQ18" s="183">
        <f t="shared" si="15"/>
        <v>10</v>
      </c>
      <c r="AR18" s="183">
        <f t="shared" si="15"/>
        <v>10</v>
      </c>
      <c r="AS18" s="183">
        <f t="shared" si="15"/>
        <v>0</v>
      </c>
      <c r="AT18" s="183">
        <f t="shared" si="15"/>
        <v>0</v>
      </c>
      <c r="AU18" s="203"/>
      <c r="AV18" s="132"/>
      <c r="AW18" s="203"/>
      <c r="AX18" s="132"/>
      <c r="AY18" s="183">
        <f>SUBTOTAL(9,AY14:AY17)</f>
        <v>5394</v>
      </c>
      <c r="AZ18" s="183">
        <f>SUBTOTAL(9,AZ14:AZ17)</f>
        <v>2676</v>
      </c>
      <c r="BA18" s="183">
        <f>SUBTOTAL(9,BA14:BA17)</f>
        <v>2777</v>
      </c>
      <c r="BB18" s="183">
        <f>SUBTOTAL(9,BB14:BB17)</f>
        <v>5315</v>
      </c>
      <c r="BC18" s="183">
        <f>SUBTOTAL(9,BC14:BC17)</f>
        <v>315</v>
      </c>
      <c r="BD18" s="204">
        <f>IF(ISNUMBER(BA18/AZ18),BA18/AZ18," - ")</f>
        <v>1.0377428998505231</v>
      </c>
      <c r="BE18" s="205">
        <f>IF(ISNUMBER(BB18/BA18),BB18/BA18, " - ")</f>
        <v>1.9139359020525748</v>
      </c>
      <c r="BF18" s="205">
        <f>IF(ISNUMBER(BC18/BA18),BC18/BA18, " - ")</f>
        <v>0.11343176089305006</v>
      </c>
      <c r="BG18" s="206">
        <f>IF(ISNUMBER((AY18+AZ18)/BA18),(AY18+AZ18)/BA18," - ")</f>
        <v>2.906013683831473</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15825</v>
      </c>
      <c r="J19" s="134">
        <f t="shared" si="18"/>
        <v>4570</v>
      </c>
      <c r="K19" s="134">
        <f t="shared" si="18"/>
        <v>4759</v>
      </c>
      <c r="L19" s="134">
        <f t="shared" si="18"/>
        <v>15487</v>
      </c>
      <c r="M19" s="134">
        <f t="shared" si="18"/>
        <v>895</v>
      </c>
      <c r="N19" s="134">
        <f t="shared" si="18"/>
        <v>2657</v>
      </c>
      <c r="O19" s="134">
        <f t="shared" si="18"/>
        <v>942</v>
      </c>
      <c r="P19" s="134">
        <f t="shared" si="18"/>
        <v>1105</v>
      </c>
      <c r="Q19" s="134">
        <f t="shared" si="18"/>
        <v>745</v>
      </c>
      <c r="R19" s="134">
        <f t="shared" si="18"/>
        <v>16990</v>
      </c>
      <c r="S19" s="134">
        <f t="shared" si="18"/>
        <v>13998</v>
      </c>
      <c r="T19" s="134">
        <f t="shared" si="18"/>
        <v>5355</v>
      </c>
      <c r="U19" s="134">
        <f t="shared" si="18"/>
        <v>5143</v>
      </c>
      <c r="V19" s="134">
        <f t="shared" si="18"/>
        <v>14232</v>
      </c>
      <c r="W19" s="134">
        <f t="shared" si="18"/>
        <v>889</v>
      </c>
      <c r="X19" s="134">
        <f t="shared" si="18"/>
        <v>2318</v>
      </c>
      <c r="Y19" s="134">
        <f t="shared" si="18"/>
        <v>206</v>
      </c>
      <c r="Z19" s="134">
        <f t="shared" si="18"/>
        <v>121</v>
      </c>
      <c r="AA19" s="134">
        <f t="shared" si="18"/>
        <v>111</v>
      </c>
      <c r="AB19" s="134">
        <f t="shared" si="18"/>
        <v>216</v>
      </c>
      <c r="AC19" s="134">
        <f t="shared" si="18"/>
        <v>0</v>
      </c>
      <c r="AD19" s="134">
        <f t="shared" si="18"/>
        <v>108</v>
      </c>
      <c r="AE19" s="134">
        <f t="shared" si="18"/>
        <v>106</v>
      </c>
      <c r="AF19" s="134">
        <f t="shared" si="18"/>
        <v>2</v>
      </c>
      <c r="AG19" s="134">
        <f t="shared" si="18"/>
        <v>165</v>
      </c>
      <c r="AH19" s="134">
        <f t="shared" si="18"/>
        <v>104</v>
      </c>
      <c r="AI19" s="134">
        <f t="shared" si="18"/>
        <v>113</v>
      </c>
      <c r="AJ19" s="134">
        <f t="shared" si="18"/>
        <v>156</v>
      </c>
      <c r="AK19" s="134">
        <f t="shared" si="18"/>
        <v>0</v>
      </c>
      <c r="AL19" s="134">
        <f t="shared" si="18"/>
        <v>66</v>
      </c>
      <c r="AM19" s="134">
        <f t="shared" si="18"/>
        <v>66</v>
      </c>
      <c r="AN19" s="209">
        <f t="shared" si="18"/>
        <v>0</v>
      </c>
      <c r="AO19" s="210">
        <v>10</v>
      </c>
      <c r="AP19" s="210">
        <v>10</v>
      </c>
      <c r="AQ19" s="210">
        <v>10</v>
      </c>
      <c r="AR19" s="210">
        <v>10</v>
      </c>
      <c r="AS19" s="152">
        <f t="shared" si="18"/>
        <v>0</v>
      </c>
      <c r="AT19" s="152">
        <f t="shared" si="18"/>
        <v>0</v>
      </c>
      <c r="AU19" s="210"/>
      <c r="AV19" s="211"/>
      <c r="AW19" s="210"/>
      <c r="AX19" s="211"/>
      <c r="AY19" s="133">
        <f>SUBTOTAL(9,AY9:AY18)</f>
        <v>14163</v>
      </c>
      <c r="AZ19" s="134">
        <f>SUBTOTAL(9,AZ9:AZ18)</f>
        <v>5459</v>
      </c>
      <c r="BA19" s="134">
        <f>SUBTOTAL(9,BA9:BA18)</f>
        <v>5256</v>
      </c>
      <c r="BB19" s="134">
        <f>SUBTOTAL(9,BB9:BB18)</f>
        <v>14388</v>
      </c>
      <c r="BC19" s="135">
        <f>SUBTOTAL(9,BC9:BC18)</f>
        <v>1003</v>
      </c>
      <c r="BD19" s="212">
        <f>IF(ISNUMBER(BA19/AZ19),BA19/AZ19," - ")</f>
        <v>0.96281370214324968</v>
      </c>
      <c r="BE19" s="209">
        <f>IF(ISNUMBER(BB19/BA19),BB19/BA19, " - ")</f>
        <v>2.7374429223744294</v>
      </c>
      <c r="BF19" s="209">
        <f>IF(ISNUMBER(BC19/BA19),BC19/BA19, " - ")</f>
        <v>0.19082952815829529</v>
      </c>
      <c r="BG19" s="135">
        <f>IF(ISNUMBER((AY19+AZ19)/BA19),(AY19+AZ19)/BA19," - ")</f>
        <v>3.7332572298325721</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VuMSz497hTUFrB0nJAvs8OwdgECVTrwtUzRUIJl1OJJKHz9omFxF9i4k7qdgliVcOzwuXJiGPSU8C7rEULNGQ==" saltValue="79aV1ojx0c/kc+mZ4Ato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8v/GszUud3v0+Av36RR5U33yFQhM8BqzjIPkm81pL7YV2qWBMypkrVSPTkfl/edbSpDsIQxEHhO6XGVCYeISQ==" saltValue="74GoB03r40zEOR9R+uAG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VENDRELL,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88</v>
      </c>
      <c r="G10" s="332">
        <f>IF(ISNUMBER(Datos!I10),Datos!I10," - ")</f>
        <v>88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5</v>
      </c>
      <c r="AD10" s="333"/>
      <c r="AE10" s="483"/>
      <c r="AF10" s="331">
        <f>IF(ISNUMBER(Datos!L10),Datos!L10,"-")</f>
        <v>96</v>
      </c>
      <c r="AG10" s="333"/>
      <c r="AH10" s="333"/>
      <c r="AI10" s="333"/>
      <c r="AJ10" s="333"/>
      <c r="AK10" s="333"/>
      <c r="AL10" s="478"/>
      <c r="AM10" s="334">
        <f>IF(ISNUMBER(Datos!R10),Datos!R10," - ")</f>
        <v>136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17</v>
      </c>
      <c r="BE10" s="228" t="str">
        <f>IF(ISNUMBER(Datos!BW10),Datos!BW10," - ")</f>
        <v xml:space="preserve"> - </v>
      </c>
      <c r="BF10" s="227" t="str">
        <f>IF(ISNUMBER(Datos!BX10),Datos!BX10," - ")</f>
        <v xml:space="preserve"> - </v>
      </c>
      <c r="BG10" s="242">
        <f>IF(ISNUMBER(Datos!K10/Datos!J10),Datos!K10/Datos!J10," - ")</f>
        <v>0.81818181818181823</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0.11475409836065574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121</v>
      </c>
      <c r="O12" s="333"/>
      <c r="P12" s="333"/>
      <c r="Q12" s="225">
        <f>IF(ISNUMBER(Datos!P12),Datos!P12,0)</f>
        <v>1056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216</v>
      </c>
      <c r="AI12" s="333" t="str">
        <f>IF(ISNUMBER(Datos!CD12),Datos!CD12,"-")</f>
        <v>-</v>
      </c>
      <c r="AJ12" s="333" t="str">
        <f>IF(ISNUMBER(Datos!EN12),Datos!EN12," - ")</f>
        <v xml:space="preserve"> - </v>
      </c>
      <c r="AK12" s="333"/>
      <c r="AL12" s="478"/>
      <c r="AM12" s="334">
        <f>IF(ISNUMBER(Datos!R12),Datos!R12," - ")</f>
        <v>16483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627</v>
      </c>
      <c r="BD12" s="228">
        <f>IF(ISNUMBER(Datos!N12),Datos!N12," - ")</f>
        <v>1230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1.2044403330249769</v>
      </c>
      <c r="BH12" s="259">
        <f>IF(ISNUMBER(((IF(J_V="SI",Datos!L12/Datos!K12,(Datos!L12+Datos!AB12)/(Datos!K12+Datos!AA12)))*11)/factor_trimestre),((IF(J_V="SI",Datos!L12/Datos!K12,(Datos!L12+Datos!AB12)/(Datos!K12+Datos!AA12)))*11)/factor_trimestre," - ")</f>
        <v>10.315668202764979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2.1061760515393668E-2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88</v>
      </c>
      <c r="G13" s="897">
        <f t="shared" si="0"/>
        <v>88</v>
      </c>
      <c r="H13" s="898">
        <f t="shared" si="0"/>
        <v>0</v>
      </c>
      <c r="I13" s="897">
        <f t="shared" si="0"/>
        <v>0</v>
      </c>
      <c r="J13" s="866">
        <f t="shared" si="0"/>
        <v>0</v>
      </c>
      <c r="K13" s="866">
        <f t="shared" si="0"/>
        <v>0</v>
      </c>
      <c r="L13" s="898">
        <f t="shared" si="0"/>
        <v>0</v>
      </c>
      <c r="M13" s="898">
        <f t="shared" si="0"/>
        <v>0</v>
      </c>
      <c r="N13" s="898">
        <f t="shared" si="0"/>
        <v>121</v>
      </c>
      <c r="O13" s="899">
        <f t="shared" si="0"/>
        <v>0</v>
      </c>
      <c r="P13" s="899">
        <f t="shared" si="0"/>
        <v>0</v>
      </c>
      <c r="Q13" s="898">
        <f t="shared" si="0"/>
        <v>1075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721</v>
      </c>
      <c r="AD13" s="898">
        <f t="shared" si="1"/>
        <v>0</v>
      </c>
      <c r="AE13" s="898">
        <f t="shared" si="1"/>
        <v>0</v>
      </c>
      <c r="AF13" s="898">
        <f t="shared" si="1"/>
        <v>96</v>
      </c>
      <c r="AG13" s="898">
        <f t="shared" si="1"/>
        <v>0</v>
      </c>
      <c r="AH13" s="898">
        <f t="shared" si="1"/>
        <v>216</v>
      </c>
      <c r="AI13" s="898">
        <f t="shared" si="1"/>
        <v>0</v>
      </c>
      <c r="AJ13" s="898">
        <f t="shared" si="1"/>
        <v>0</v>
      </c>
      <c r="AK13" s="898">
        <f t="shared" si="1"/>
        <v>0</v>
      </c>
      <c r="AL13" s="898">
        <f t="shared" si="1"/>
        <v>0</v>
      </c>
      <c r="AM13" s="898">
        <f t="shared" si="1"/>
        <v>16619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639</v>
      </c>
      <c r="BD13" s="898">
        <f t="shared" si="1"/>
        <v>1247</v>
      </c>
      <c r="BE13" s="898">
        <f t="shared" si="1"/>
        <v>0</v>
      </c>
      <c r="BF13" s="898">
        <f t="shared" si="1"/>
        <v>0</v>
      </c>
      <c r="BG13" s="898">
        <f>IF(ISNUMBER(Datos!K13/Datos!J13),Datos!K13/Datos!J13," - ")</f>
        <v>1.2129496402877697</v>
      </c>
      <c r="BH13" s="902">
        <f>IF(ISNUMBER(((Datos!L13/Datos!K13)*11)/factor_trimestre),((Datos!L13/Datos!K13)*11)/factor_trimestre," - ")</f>
        <v>10.479240806642942</v>
      </c>
      <c r="BI13" s="898">
        <f>IF(ISNUMBER('Resol  Asuntos'!D13/NºAsuntos!G13),'Resol  Asuntos'!D13/NºAsuntos!G13," - ")</f>
        <v>0.24204545454545454</v>
      </c>
      <c r="BJ13" s="898" t="str">
        <f>IF(ISNUMBER(Datos!CI13/Datos!CJ13),Datos!CI13/Datos!CJ13," - ")</f>
        <v xml:space="preserve"> - </v>
      </c>
      <c r="BK13" s="898">
        <f>SUBTOTAL(9,BK8:BK12)</f>
        <v>0</v>
      </c>
      <c r="BL13" s="898">
        <f>IF(ISNUMBER((I13-AB13+L13)/(F13)),(I13-AB13+L13)/(F13)," - ")</f>
        <v>-0.40909090909090912</v>
      </c>
      <c r="BM13" s="903">
        <f>SUBTOTAL(9,BM9:BM12)</f>
        <v>0.13581585887604941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6313</v>
      </c>
      <c r="G16" s="597">
        <f>IF(ISNUMBER(IF(D_I="SI",Datos!I16,Datos!I16+Datos!AC16)),IF(D_I="SI",Datos!I16,Datos!I16+Datos!AC16)," - ")</f>
        <v>6468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2023</v>
      </c>
      <c r="AC16" s="225">
        <f>IF(ISNUMBER(Datos!Q16),Datos!Q16," - ")</f>
        <v>23</v>
      </c>
      <c r="AD16" s="333"/>
      <c r="AE16" s="483"/>
      <c r="AF16" s="595">
        <f>IF(ISNUMBER(IF(D_I="SI",Datos!L16,Datos!L16+Datos!AF16)),IF(D_I="SI",Datos!L16,Datos!L16+Datos!AF16)," - ")</f>
        <v>6582</v>
      </c>
      <c r="AG16" s="333"/>
      <c r="AH16" s="333"/>
      <c r="AI16" s="333"/>
      <c r="AJ16" s="333"/>
      <c r="AK16" s="333"/>
      <c r="AL16" s="478"/>
      <c r="AM16" s="334">
        <f>IF(ISNUMBER(Datos!R16),Datos!R16," - ")</f>
        <v>371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232</v>
      </c>
      <c r="BD16" s="228">
        <f>IF(ISNUMBER(Datos!N16),Datos!N16," - ")</f>
        <v>1285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0.88263525305410118</v>
      </c>
      <c r="BH16" s="259">
        <f>IF(ISNUMBER(((IF(D_I="SI",Datos!L16/Datos!K16,(Datos!L16+Datos!AF16)/(Datos!K16+Datos!AE16)))*11)/factor_trimestre),((IF(D_I="SI",Datos!L16/Datos!K16,(Datos!L16+Datos!AF16)/(Datos!K16+Datos!AE16)))*11)/factor_trimestre," - ")</f>
        <v>9.7607513593672746</v>
      </c>
      <c r="BI16" s="242">
        <f>IF(ISNUMBER('Resol  Asuntos'!D16/NºAsuntos!G16),'Resol  Asuntos'!D16/NºAsuntos!G16," - ")</f>
        <v>0.11468116658428078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207</v>
      </c>
      <c r="AC17" s="225">
        <f>IF(ISNUMBER(Datos!Q17),Datos!Q17," - ")</f>
        <v>1</v>
      </c>
      <c r="AD17" s="333"/>
      <c r="AE17" s="483"/>
      <c r="AF17" s="331">
        <f>IF(ISNUMBER(Datos!L17),Datos!L17,"-")</f>
        <v>71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125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1.072538860103627</v>
      </c>
      <c r="BH17" s="259">
        <f>IF(ISNUMBER(((IF(D_I="SI",Datos!L17/Datos!K17,(Datos!L17+Datos!AF17)/(Datos!K17+Datos!AE17)))*11)/factor_trimestre),((IF(D_I="SI",Datos!L17/Datos!K17,(Datos!L17+Datos!AF17)/(Datos!K17+Datos!AE17)))*11)/factor_trimestre," - ")</f>
        <v>1.0289855072463769</v>
      </c>
      <c r="BI17" s="242">
        <f>IF(ISNUMBER('Resol  Asuntos'!D17/NºAsuntos!G17),'Resol  Asuntos'!D17/NºAsuntos!G17," - ")</f>
        <v>0.11594202898550725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10</v>
      </c>
      <c r="F18" s="897">
        <f>SUBTOTAL(9,F15:F17)</f>
        <v>6313</v>
      </c>
      <c r="G18" s="897">
        <f>SUBTOTAL(9,G15:G17)</f>
        <v>6547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2230</v>
      </c>
      <c r="AC18" s="898">
        <f t="shared" si="4"/>
        <v>24</v>
      </c>
      <c r="AD18" s="898">
        <f t="shared" si="4"/>
        <v>0</v>
      </c>
      <c r="AE18" s="898">
        <f t="shared" si="4"/>
        <v>0</v>
      </c>
      <c r="AF18" s="898">
        <f t="shared" si="4"/>
        <v>6653</v>
      </c>
      <c r="AG18" s="898">
        <f t="shared" si="4"/>
        <v>0</v>
      </c>
      <c r="AH18" s="898">
        <f t="shared" si="4"/>
        <v>0</v>
      </c>
      <c r="AI18" s="898">
        <f t="shared" si="4"/>
        <v>0</v>
      </c>
      <c r="AJ18" s="898">
        <f t="shared" si="4"/>
        <v>0</v>
      </c>
      <c r="AK18" s="898">
        <f t="shared" si="4"/>
        <v>0</v>
      </c>
      <c r="AL18" s="898">
        <f t="shared" si="4"/>
        <v>0</v>
      </c>
      <c r="AM18" s="898">
        <f t="shared" si="4"/>
        <v>371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256</v>
      </c>
      <c r="BD18" s="898">
        <f t="shared" si="4"/>
        <v>1410</v>
      </c>
      <c r="BE18" s="898">
        <f t="shared" si="4"/>
        <v>0</v>
      </c>
      <c r="BF18" s="898">
        <f t="shared" si="4"/>
        <v>0</v>
      </c>
      <c r="BG18" s="898">
        <f>IF(ISNUMBER(Datos!K18/Datos!J18),Datos!K18/Datos!J18," - ")</f>
        <v>0.89738430583501005</v>
      </c>
      <c r="BH18" s="902">
        <f>IF(ISNUMBER(((Datos!L18/Datos!K18)*11)/factor_trimestre),((Datos!L18/Datos!K18)*11)/factor_trimestre," - ")</f>
        <v>8.9502242152466387</v>
      </c>
      <c r="BI18" s="898">
        <f>SUBTOTAL(9,BI15:BI17)</f>
        <v>0.23062319556978803</v>
      </c>
      <c r="BJ18" s="898">
        <f>SUBTOTAL(9,BJ15:BJ17)</f>
        <v>0</v>
      </c>
      <c r="BK18" s="898">
        <f>SUBTOTAL(9,BK15:BK17)</f>
        <v>0</v>
      </c>
      <c r="BL18" s="898">
        <f>IF(ISNUMBER((I18-AB18+L18)/(F18)),(I18-AB18+L18)/(F18)," - ")</f>
        <v>-0.35323934737842549</v>
      </c>
      <c r="BM18" s="904">
        <f>IF(ISNUMBER((Datos!P18-Datos!Q18)/(Datos!R18-Datos!P18+Datos!Q18)),(Datos!P18-Datos!Q18)/(Datos!R18-Datos!P18+Datos!Q18)," - ")</f>
        <v>1.643835616438356E-2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20</v>
      </c>
      <c r="F19" s="819">
        <f t="shared" si="6"/>
        <v>6401</v>
      </c>
      <c r="G19" s="819">
        <f t="shared" si="6"/>
        <v>6635</v>
      </c>
      <c r="H19" s="821">
        <f t="shared" si="6"/>
        <v>0</v>
      </c>
      <c r="I19" s="819">
        <f t="shared" si="6"/>
        <v>0</v>
      </c>
      <c r="J19" s="821">
        <f t="shared" si="6"/>
        <v>0</v>
      </c>
      <c r="K19" s="821">
        <f t="shared" si="6"/>
        <v>0</v>
      </c>
      <c r="L19" s="880">
        <f t="shared" si="6"/>
        <v>0</v>
      </c>
      <c r="M19" s="880">
        <f t="shared" si="6"/>
        <v>0</v>
      </c>
      <c r="N19" s="880">
        <f t="shared" si="6"/>
        <v>121</v>
      </c>
      <c r="O19" s="880">
        <f t="shared" si="6"/>
        <v>0</v>
      </c>
      <c r="P19" s="880">
        <f t="shared" si="6"/>
        <v>0</v>
      </c>
      <c r="Q19" s="821">
        <f t="shared" si="6"/>
        <v>1105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2266</v>
      </c>
      <c r="AC19" s="820">
        <f t="shared" si="7"/>
        <v>745</v>
      </c>
      <c r="AD19" s="820">
        <f t="shared" si="7"/>
        <v>0</v>
      </c>
      <c r="AE19" s="820">
        <f t="shared" si="7"/>
        <v>0</v>
      </c>
      <c r="AF19" s="827">
        <f t="shared" si="7"/>
        <v>6749</v>
      </c>
      <c r="AG19" s="827">
        <f t="shared" si="7"/>
        <v>0</v>
      </c>
      <c r="AH19" s="827">
        <f t="shared" si="7"/>
        <v>216</v>
      </c>
      <c r="AI19" s="827">
        <f t="shared" si="7"/>
        <v>0</v>
      </c>
      <c r="AJ19" s="820">
        <f t="shared" si="7"/>
        <v>0</v>
      </c>
      <c r="AK19" s="827">
        <f t="shared" si="7"/>
        <v>0</v>
      </c>
      <c r="AL19" s="827">
        <f t="shared" si="7"/>
        <v>0</v>
      </c>
      <c r="AM19" s="827">
        <f t="shared" si="7"/>
        <v>16990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895</v>
      </c>
      <c r="BD19" s="819">
        <f t="shared" si="7"/>
        <v>2657</v>
      </c>
      <c r="BE19" s="819">
        <f t="shared" si="7"/>
        <v>0</v>
      </c>
      <c r="BF19" s="829">
        <f t="shared" si="7"/>
        <v>0</v>
      </c>
      <c r="BG19" s="914">
        <f>IF(ISNUMBER(Datos!K19/Datos!J19),Datos!K19/Datos!J19," - ")</f>
        <v>1.0413566739606126</v>
      </c>
      <c r="BH19" s="914">
        <f>IF(ISNUMBER(((Datos!L19/Datos!K19)*11)/factor_trimestre),((Datos!L19/Datos!K19)*11)/factor_trimestre," - ")</f>
        <v>9.7627652868249637</v>
      </c>
      <c r="BI19" s="812">
        <f>IF(ISNUMBER(Datos!J19/Datos!I19),Datos!J19/Datos!I19," - ")</f>
        <v>0.288783570300158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-0.35400718637712858</v>
      </c>
      <c r="BM19" s="888">
        <f>IF(ISNUMBER((Datos!P19-Datos!Q19+R19)/(Datos!R19-Datos!P19+Datos!Q19-R19)),(Datos!P19-Datos!Q19+R19)/(Datos!R19-Datos!P19+Datos!Q19-R19)," - ")</f>
        <v>2.164762477450391E-2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2654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4.8247049420433763</v>
      </c>
      <c r="F21" s="550">
        <f>IF(ISNUMBER(STDEV(F8:F18)),STDEV(F8:F18),"-")</f>
        <v>3594.0054257054203</v>
      </c>
      <c r="G21" s="551">
        <f>IF(ISNUMBER(STDEV(G8:G18)),STDEV(G8:G18),"-")</f>
        <v>3517.8609267564857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1118.3766360220513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278.39300757502275</v>
      </c>
      <c r="BD21" s="550"/>
      <c r="BE21" s="550">
        <f>IF(ISNUMBER(STDEV(BE8:BE18)),STDEV(BE8:BE18),"-")</f>
        <v>0</v>
      </c>
      <c r="BF21" s="555">
        <f>IF(ISNUMBER(STDEV(BF8:BF18)),STDEV(BF8:BF18),"-")</f>
        <v>0</v>
      </c>
      <c r="BG21" s="774">
        <f>IF(ISNUMBER(STDEV(BG8:BG18)),STDEV(BG8:BG18),"-")</f>
        <v>0.17232127671614098</v>
      </c>
      <c r="BH21" s="775">
        <f>IF(ISNUMBER(STDEV(BH8:BH18)),STDEV(BH8:BH18),"-")</f>
        <v>3.579371108648393</v>
      </c>
      <c r="BI21" s="248">
        <f>IF(ISNUMBER(STDEV(BI8:BI18)),STDEV(BI8:BI18),"-")</f>
        <v>7.0029825559257061E-2</v>
      </c>
      <c r="BJ21" s="229" t="str">
        <f>IF(ISNUMBER(BL21/BM21),BL21/BM21," - ")</f>
        <v xml:space="preserve"> - </v>
      </c>
      <c r="BK21" s="574"/>
      <c r="BL21" s="558">
        <f>IF(ISNUMBER(STDEV(BL8:BL18)),STDEV(BL8:BL18),"-")</f>
        <v>3.9493018026756109E-2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OYl0iYm6Rs4J3bT/uunlF8hC1is2HLa191GR1fsN0mja72qvVkJCsvGKC6hcrb/uASpsfJS5+1WVLbLGbmnOQ==" saltValue="9oylWagJBuwJgxT9vGRh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VENDRELL,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88</v>
      </c>
      <c r="G10" s="224">
        <f>IF(ISNUMBER(Datos!I10),Datos!I10," - ")</f>
        <v>88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5</v>
      </c>
      <c r="AA10" s="331">
        <f>IF(ISNUMBER(Datos!L10),Datos!L10,"-")</f>
        <v>96</v>
      </c>
      <c r="AB10" s="333"/>
      <c r="AC10" s="333"/>
      <c r="AD10" s="483"/>
      <c r="AE10" s="483">
        <f>IF(ISNUMBER(Datos!R10),Datos!R10," - ")</f>
        <v>136</v>
      </c>
      <c r="AF10" s="228" t="str">
        <f>IF(ISNUMBER(Datos!BV10),Datos!BV10," - ")</f>
        <v xml:space="preserve"> - </v>
      </c>
      <c r="AG10" s="224" t="str">
        <f>IF(ISNUMBER(Datos!DV10),Datos!DV10," - ")</f>
        <v xml:space="preserve"> - </v>
      </c>
      <c r="AH10" s="297"/>
      <c r="AI10" s="226"/>
      <c r="AJ10" s="224">
        <f>IF(ISNUMBER(Datos!M10),Datos!M10," - ")</f>
        <v>12</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0.11475409836065574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716</v>
      </c>
      <c r="AA12" s="331" t="str">
        <f>IF(ISNUMBER(IF(J_V="SI",Datos!L12,Datos!L12+Datos!AB12)-IF(Monitorios="SI",Datos!CD12,0)),
                          IF(J_V="SI",Datos!L12,Datos!L12+Datos!AB12)-IF(Monitorios="SI",Datos!CD12,0),
                          " - ")</f>
        <v xml:space="preserve"> - </v>
      </c>
      <c r="AB12" s="333"/>
      <c r="AC12" s="333"/>
      <c r="AD12" s="483"/>
      <c r="AE12" s="483">
        <f>IF(ISNUMBER(Datos!R12),Datos!R12," - ")</f>
        <v>16483</v>
      </c>
      <c r="AF12" s="228" t="str">
        <f>IF(ISNUMBER(Datos!BV12),Datos!BV12," - ")</f>
        <v xml:space="preserve"> - </v>
      </c>
      <c r="AG12" s="224" t="str">
        <f>IF(ISNUMBER(Datos!DV12),Datos!DV12," - ")</f>
        <v xml:space="preserve"> - </v>
      </c>
      <c r="AH12" s="297"/>
      <c r="AI12" s="226"/>
      <c r="AJ12" s="224">
        <f>IF(ISNUMBER(Datos!M12),Datos!M12," - ")</f>
        <v>627</v>
      </c>
      <c r="AK12" s="228">
        <f>IF(ISNUMBER(Datos!N12),Datos!N12," - ")</f>
        <v>1230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10.315668202764979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2.1061760515393668E-2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88</v>
      </c>
      <c r="G13" s="897">
        <f>SUBTOTAL(9,G8:G12)</f>
        <v>88</v>
      </c>
      <c r="H13" s="907"/>
      <c r="I13" s="897">
        <f t="shared" ref="I13:N13" si="0">SUBTOTAL(9,I8:I12)</f>
        <v>0</v>
      </c>
      <c r="J13" s="866">
        <f t="shared" si="0"/>
        <v>0</v>
      </c>
      <c r="K13" s="907">
        <f t="shared" si="0"/>
        <v>0</v>
      </c>
      <c r="L13" s="907">
        <f t="shared" si="0"/>
        <v>0</v>
      </c>
      <c r="M13" s="907">
        <f t="shared" si="0"/>
        <v>0</v>
      </c>
      <c r="N13" s="907">
        <f t="shared" si="0"/>
        <v>1075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721</v>
      </c>
      <c r="AA13" s="899">
        <f t="shared" si="2"/>
        <v>96</v>
      </c>
      <c r="AB13" s="899">
        <f t="shared" si="2"/>
        <v>0</v>
      </c>
      <c r="AC13" s="899">
        <f t="shared" si="2"/>
        <v>0</v>
      </c>
      <c r="AD13" s="899">
        <f t="shared" si="2"/>
        <v>0</v>
      </c>
      <c r="AE13" s="899">
        <f t="shared" si="2"/>
        <v>16619</v>
      </c>
      <c r="AF13" s="907">
        <f t="shared" si="2"/>
        <v>0</v>
      </c>
      <c r="AG13" s="907">
        <f t="shared" si="2"/>
        <v>0</v>
      </c>
      <c r="AH13" s="907">
        <f t="shared" si="2"/>
        <v>0</v>
      </c>
      <c r="AI13" s="907">
        <f t="shared" si="2"/>
        <v>0</v>
      </c>
      <c r="AJ13" s="907">
        <f t="shared" si="2"/>
        <v>639</v>
      </c>
      <c r="AK13" s="907">
        <f t="shared" si="2"/>
        <v>1247</v>
      </c>
      <c r="AL13" s="907">
        <f t="shared" si="2"/>
        <v>0</v>
      </c>
      <c r="AM13" s="907">
        <f t="shared" si="2"/>
        <v>0</v>
      </c>
      <c r="AN13" s="907">
        <f t="shared" si="2"/>
        <v>0</v>
      </c>
      <c r="AO13" s="903">
        <f>IF(ISNUMBER(((NºAsuntos!I13/NºAsuntos!G13)*11)/factor_trimestre),((NºAsuntos!I13/NºAsuntos!G13)*11)/factor_trimestre," - ")</f>
        <v>10.28409090909091</v>
      </c>
      <c r="AP13" s="909" t="str">
        <f>IF(ISNUMBER(Datos!CI13/Datos!CJ13),Datos!CI13/Datos!CJ13," - ")</f>
        <v xml:space="preserve"> - </v>
      </c>
      <c r="AQ13" s="927">
        <f t="shared" ref="AQ13:AV13" si="3">SUBTOTAL(9,AQ9:AQ12)</f>
        <v>0</v>
      </c>
      <c r="AR13" s="927">
        <f t="shared" si="3"/>
        <v>0.13581585887604941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6313</v>
      </c>
      <c r="G16" s="224">
        <f>IF(ISNUMBER(IF(D_I="SI",Datos!I16,Datos!I16+Datos!AC16)),IF(D_I="SI",Datos!I16,Datos!I16+Datos!AC16)," - ")</f>
        <v>6468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2023</v>
      </c>
      <c r="Z16" s="618">
        <f>IF(ISNUMBER(Datos!Q16),Datos!Q16," - ")</f>
        <v>23</v>
      </c>
      <c r="AA16" s="331">
        <f>IF(ISNUMBER(IF(D_I="SI",Datos!L16,Datos!L16+Datos!AF16)),IF(D_I="SI",Datos!L16,Datos!L16+Datos!AF16)," - ")</f>
        <v>6582</v>
      </c>
      <c r="AB16" s="333"/>
      <c r="AC16" s="333"/>
      <c r="AD16" s="483"/>
      <c r="AE16" s="483">
        <f>IF(ISNUMBER(Datos!R16),Datos!R16," - ")</f>
        <v>371</v>
      </c>
      <c r="AF16" s="228" t="str">
        <f>IF(ISNUMBER(Datos!BV16),Datos!BV16," - ")</f>
        <v xml:space="preserve"> - </v>
      </c>
      <c r="AG16" s="224"/>
      <c r="AH16" s="297"/>
      <c r="AI16" s="226"/>
      <c r="AJ16" s="224">
        <f>IF(ISNUMBER(Datos!M16),Datos!M16," - ")</f>
        <v>232</v>
      </c>
      <c r="AK16" s="228">
        <f>IF(ISNUMBER(Datos!N16),Datos!N16," - ")</f>
        <v>1285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9.7607513593672746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207</v>
      </c>
      <c r="Z17" s="618">
        <f>IF(ISNUMBER(Datos!Q17),Datos!Q17," - ")</f>
        <v>1</v>
      </c>
      <c r="AA17" s="331">
        <f>IF(ISNUMBER(Datos!L17),Datos!L17,"-")</f>
        <v>71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125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1.0289855072463769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10</v>
      </c>
      <c r="F18" s="897">
        <f>SUBTOTAL(9,F15:F17)</f>
        <v>6313</v>
      </c>
      <c r="G18" s="897">
        <f>SUBTOTAL(9,G15:G17)</f>
        <v>6547</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2230</v>
      </c>
      <c r="Z18" s="931">
        <f t="shared" si="5"/>
        <v>24</v>
      </c>
      <c r="AA18" s="931">
        <f t="shared" si="5"/>
        <v>6653</v>
      </c>
      <c r="AB18" s="931">
        <f t="shared" si="5"/>
        <v>0</v>
      </c>
      <c r="AC18" s="931">
        <f t="shared" si="5"/>
        <v>0</v>
      </c>
      <c r="AD18" s="931">
        <f t="shared" si="5"/>
        <v>0</v>
      </c>
      <c r="AE18" s="931">
        <f t="shared" si="5"/>
        <v>371</v>
      </c>
      <c r="AF18" s="931">
        <f t="shared" si="5"/>
        <v>0</v>
      </c>
      <c r="AG18" s="931">
        <f t="shared" si="5"/>
        <v>0</v>
      </c>
      <c r="AH18" s="931">
        <f t="shared" si="5"/>
        <v>0</v>
      </c>
      <c r="AI18" s="931">
        <f t="shared" si="5"/>
        <v>0</v>
      </c>
      <c r="AJ18" s="931">
        <f t="shared" si="5"/>
        <v>256</v>
      </c>
      <c r="AK18" s="931">
        <f t="shared" si="5"/>
        <v>1410</v>
      </c>
      <c r="AL18" s="931">
        <f t="shared" si="5"/>
        <v>0</v>
      </c>
      <c r="AM18" s="931">
        <f t="shared" si="5"/>
        <v>0</v>
      </c>
      <c r="AN18" s="931">
        <f t="shared" si="5"/>
        <v>0</v>
      </c>
      <c r="AO18" s="933">
        <f>IF(ISNUMBER(((NºAsuntos!I18/NºAsuntos!G18)*11)/factor_trimestre),((NºAsuntos!I18/NºAsuntos!G18)*11)/factor_trimestre," - ")</f>
        <v>8.9502242152466387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6401</v>
      </c>
      <c r="G19" s="819">
        <f t="shared" si="7"/>
        <v>6635</v>
      </c>
      <c r="H19" s="820">
        <f t="shared" si="7"/>
        <v>0</v>
      </c>
      <c r="I19" s="819">
        <f t="shared" si="7"/>
        <v>0</v>
      </c>
      <c r="J19" s="821">
        <f t="shared" si="7"/>
        <v>0</v>
      </c>
      <c r="K19" s="819">
        <f t="shared" si="7"/>
        <v>0</v>
      </c>
      <c r="L19" s="822">
        <f t="shared" si="7"/>
        <v>0</v>
      </c>
      <c r="M19" s="819">
        <f t="shared" si="7"/>
        <v>0</v>
      </c>
      <c r="N19" s="820">
        <f t="shared" si="7"/>
        <v>1105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2266</v>
      </c>
      <c r="Z19" s="826">
        <f t="shared" si="8"/>
        <v>745</v>
      </c>
      <c r="AA19" s="827">
        <f t="shared" si="8"/>
        <v>6749</v>
      </c>
      <c r="AB19" s="827">
        <f t="shared" si="8"/>
        <v>0</v>
      </c>
      <c r="AC19" s="827">
        <f t="shared" si="8"/>
        <v>0</v>
      </c>
      <c r="AD19" s="828">
        <f t="shared" si="8"/>
        <v>0</v>
      </c>
      <c r="AE19" s="828">
        <f t="shared" si="8"/>
        <v>16990</v>
      </c>
      <c r="AF19" s="829">
        <f t="shared" si="8"/>
        <v>0</v>
      </c>
      <c r="AG19" s="830">
        <f t="shared" si="8"/>
        <v>0</v>
      </c>
      <c r="AH19" s="831">
        <f t="shared" si="8"/>
        <v>0</v>
      </c>
      <c r="AI19" s="829">
        <f t="shared" si="8"/>
        <v>0</v>
      </c>
      <c r="AJ19" s="819">
        <f t="shared" si="8"/>
        <v>895</v>
      </c>
      <c r="AK19" s="819">
        <f t="shared" si="8"/>
        <v>2657</v>
      </c>
      <c r="AL19" s="819">
        <f t="shared" si="8"/>
        <v>0</v>
      </c>
      <c r="AM19" s="832">
        <f t="shared" si="8"/>
        <v>0</v>
      </c>
      <c r="AN19" s="822">
        <f>IF(ISNUMBER(Datos!K19/Datos!J19),Datos!K19/Datos!J19," - ")</f>
        <v>1.0413566739606126</v>
      </c>
      <c r="AO19" s="822">
        <f>IF(ISNUMBER(FIND("06",Criterios!A8,1)),(IF(ISNUMBER(((Datos!R19/Datos!Q19)*11)/factor_trimestre),((Datos!R19/Datos!Q19)*11)/factor_trimestre," - ")),(IF(ISNUMBER(((Datos!L19/Datos!K19)*11)/factor_trimestre),((Datos!L19/Datos!K19)*11)/factor_trimestre," - ")))</f>
        <v>9.7627652868249637</v>
      </c>
      <c r="AP19" s="833" t="str">
        <f>IF(ISNUMBER(Datos!CI19/Datos!CJ19),Datos!CI19/Datos!CJ19," - ")</f>
        <v xml:space="preserve"> - </v>
      </c>
      <c r="AQ19" s="833">
        <f>IF(OR(ISNUMBER(FIND("01",Criterios!A8,1)),ISNUMBER(FIND("02",Criterios!A8,1)),ISNUMBER(FIND("03",Criterios!A8,1)),ISNUMBER(FIND("04",Criterios!A8,1))),(J19-Y19+K19)/(F19-K19),(I19-Y19+K19)/(F19-K19))</f>
        <v>-0.35400718637712858</v>
      </c>
      <c r="AR19" s="833">
        <f>IF(ISNUMBER((Datos!P19-Datos!Q19+O19)/(Datos!R19-Datos!P19+Datos!Q19-O19)),(Datos!P19-Datos!Q19+O19)/(Datos!R19-Datos!P19+Datos!Q19-O19)," - ")</f>
        <v>2.164762477450391E-2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2654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3594.0054257054203</v>
      </c>
      <c r="G21" s="551">
        <f>IF(ISNUMBER(STDEV(G8:G18)),STDEV(G8:G18),"-")</f>
        <v>3517.8609267564857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278.39300757502275</v>
      </c>
      <c r="AK21" s="251"/>
      <c r="AL21" s="251">
        <f>IF(ISNUMBER(STDEV(AL8:AL18)),STDEV(AL8:AL18),"-")</f>
        <v>0</v>
      </c>
      <c r="AM21" s="253">
        <f>IF(ISNUMBER(STDEV(AM8:AM18)),STDEV(AM8:AM18),"-")</f>
        <v>0</v>
      </c>
      <c r="AN21" s="538">
        <f>IF(ISNUMBER(STDEV(AN8:AN18)),STDEV(AN8:AN18),"-")</f>
        <v>0</v>
      </c>
      <c r="AO21" s="539">
        <f>IF(ISNUMBER(STDEV(AO8:AO18)),STDEV(AO8:AO18),"-")</f>
        <v>3.5541066389428444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G/NICStl2c4fVMthdHBvErGvbPrVZGZuxj+ap4aben75wdR1SCdZhT1WO42jT4KhUq67/22JhVGX7TiJl3Cg==" saltValue="LA8jy/83+vov2WlQuffm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KKHNEQz8zqZOYgEIW3gwwT4tT/CFqLjEyyxKwYxn92Q9izmsW7g3YYte0eePyOpR/kUXXnu1mM+0XlWeddB/w==" saltValue="ynxePO0MdenrEKBsmaT8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IrvFiAdKa4CH5gwDJt62RQ2k4jS35x5A4Dk++60m9o49YyfA9JQ/NfVZtG31Zzp3xr6BDDgcfTKmGDPSMWNg==" saltValue="1ZE59/dj+2J84jjF5Gwq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VENDRELL,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0.24204545454545454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0.17115198226447115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Q6f2OxLSqXIM6v6PTp5qSwX+qXx1j4W5qPvBhO4uNLqoJH8/AOGesgHAHkLNugn3wyEHvU8uW8AYiXHzmQL5Q==" saltValue="485pACusAP3TjiZ9EoCx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KKhVixQtDf6KHzsFiMBQ4HuY9Xbk7RyXOMYDQLaJQ28kJ7YhDbBRfua0gwbJ3BphAHmZ13tr2uT4NEMBncjFA==" saltValue="gb8HMC+lmWc+Ol/DQE8h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VENDRELL, EL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88</v>
      </c>
      <c r="D10" s="403">
        <f>IF(ISNUMBER(C10/Datos!BH10),C10/Datos!BH10," - ")</f>
        <v>88</v>
      </c>
      <c r="E10" s="402">
        <f>IF(ISNUMBER(Datos!J10),Datos!J10," - ")</f>
        <v>44</v>
      </c>
      <c r="F10" s="403">
        <f>IF(ISNUMBER(E10/B10),E10/B10," - ")</f>
        <v>44</v>
      </c>
      <c r="G10" s="402">
        <f>IF(ISNUMBER(Datos!K10),Datos!K10," - ")</f>
        <v>36</v>
      </c>
      <c r="H10" s="403">
        <f>IF(ISNUMBER(G10/B10),G10/B10," - ")</f>
        <v>36</v>
      </c>
      <c r="I10" s="402">
        <f>IF(ISNUMBER(Datos!L10),Datos!L10," - ")</f>
        <v>96</v>
      </c>
      <c r="J10" s="403">
        <f>IF(ISNUMBER(I10/B10),I10/B10," - ")</f>
        <v>96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9396</v>
      </c>
      <c r="D12" s="403">
        <f>IF(ISNUMBER(C12/Datos!BH12),C12/Datos!BH12," - ")</f>
        <v>1044</v>
      </c>
      <c r="E12" s="402">
        <f>IF(ISNUMBER(IF(J_V="SI",Datos!J12,Datos!J12+Datos!Z12)),IF(J_V="SI",Datos!J12,Datos!J12+Datos!Z12)," - ")</f>
        <v>2162</v>
      </c>
      <c r="F12" s="403">
        <f>IF(ISNUMBER(E12/B12),E12/B12," - ")</f>
        <v>240.22222222222223</v>
      </c>
      <c r="G12" s="402">
        <f>IF(ISNUMBER(IF(J_V="SI",Datos!K12,Datos!K12+Datos!AA12)),IF(J_V="SI",Datos!K12,Datos!K12+Datos!AA12)," - ")</f>
        <v>2604</v>
      </c>
      <c r="H12" s="403">
        <f>IF(ISNUMBER(G12/B12),G12/B12," - ")</f>
        <v>289.33333333333331</v>
      </c>
      <c r="I12" s="402">
        <f>IF(ISNUMBER(IF(J_V="SI",Datos!L12,Datos!L12+Datos!AB12)),IF(J_V="SI",Datos!L12,Datos!L12+Datos!AB12)," - ")</f>
        <v>8954</v>
      </c>
      <c r="J12" s="403">
        <f>IF(ISNUMBER(I12/B12),I12/B12," - ")</f>
        <v>994.88888888888891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9484</v>
      </c>
      <c r="D13" s="849" t="str">
        <f>IF(ISNUMBER(C13/Datos!BI13),C13/Datos!BI13," - ")</f>
        <v xml:space="preserve"> - </v>
      </c>
      <c r="E13" s="848">
        <f>SUBTOTAL(9,E8:E12)</f>
        <v>2206</v>
      </c>
      <c r="F13" s="849">
        <f>IF(ISNUMBER(E13/B13),E13/B13," - ")</f>
        <v>220.6</v>
      </c>
      <c r="G13" s="848">
        <f>SUBTOTAL(9,G8:G12)</f>
        <v>2640</v>
      </c>
      <c r="H13" s="849">
        <f>IF(ISNUMBER(G13/B13),G13/B13," - ")</f>
        <v>264</v>
      </c>
      <c r="I13" s="848">
        <f>SUBTOTAL(9,I8:I12)</f>
        <v>9050</v>
      </c>
      <c r="J13" s="849">
        <f>IF(ISNUMBER(I13/B13),I13/B13," - ")</f>
        <v>905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6468</v>
      </c>
      <c r="D16" s="403">
        <f>IF(ISNUMBER(C16/Datos!BH16),C16/Datos!BH16," - ")</f>
        <v>718.66666666666663</v>
      </c>
      <c r="E16" s="402">
        <f>IF(ISNUMBER(IF(D_I="SI",Datos!J16,Datos!J16+Datos!AD16)),IF(D_I="SI",Datos!J16,Datos!J16+Datos!AD16)," - ")</f>
        <v>2292</v>
      </c>
      <c r="F16" s="403">
        <f>IF(ISNUMBER(E16/B16),E16/B16," - ")</f>
        <v>254.66666666666666</v>
      </c>
      <c r="G16" s="402">
        <f>IF(ISNUMBER(IF(D_I="SI",Datos!K16,Datos!K16+Datos!AE16)),IF(D_I="SI",Datos!K16,Datos!K16+Datos!AE16)," - ")</f>
        <v>2023</v>
      </c>
      <c r="H16" s="403">
        <f>IF(ISNUMBER(G16/B16),G16/B16," - ")</f>
        <v>224.77777777777777</v>
      </c>
      <c r="I16" s="402">
        <f>IF(ISNUMBER(IF(D_I="SI",Datos!L16,Datos!L16+Datos!AF16)),IF(D_I="SI",Datos!L16,Datos!L16+Datos!AF16)," - ")</f>
        <v>6582</v>
      </c>
      <c r="J16" s="403">
        <f>IF(ISNUMBER(I16/B16),I16/B16," - ")</f>
        <v>731.33333333333337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79</v>
      </c>
      <c r="D17" s="403">
        <f>IF(ISNUMBER(C17/Datos!BH17),C17/Datos!BH17," - ")</f>
        <v>79</v>
      </c>
      <c r="E17" s="402">
        <f>IF(ISNUMBER(IF(D_I="SI",Datos!J17,Datos!J17+Datos!AD17)),IF(D_I="SI",Datos!J17,Datos!J17+Datos!AD17)," - ")</f>
        <v>193</v>
      </c>
      <c r="F17" s="403">
        <f>IF(ISNUMBER(E17/B17),E17/B17," - ")</f>
        <v>193</v>
      </c>
      <c r="G17" s="402">
        <f>IF(ISNUMBER(IF(D_I="SI",Datos!K17,Datos!K17+Datos!AE17)),IF(D_I="SI",Datos!K17,Datos!K17+Datos!AE17)," - ")</f>
        <v>207</v>
      </c>
      <c r="H17" s="403">
        <f>IF(ISNUMBER(G17/B17),G17/B17," - ")</f>
        <v>207</v>
      </c>
      <c r="I17" s="402">
        <f>IF(ISNUMBER(IF(D_I="SI",Datos!L17,Datos!L17+Datos!AF17)),IF(D_I="SI",Datos!L17,Datos!L17+Datos!AF17)," - ")</f>
        <v>71</v>
      </c>
      <c r="J17" s="403">
        <f>IF(ISNUMBER(I17/B17),I17/B17," - ")</f>
        <v>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10</v>
      </c>
      <c r="C18" s="848">
        <f>SUBTOTAL(9,C14:C17)</f>
        <v>6547</v>
      </c>
      <c r="D18" s="849" t="str">
        <f>IF(ISNUMBER(C18/Datos!BI18),C18/Datos!BI18," - ")</f>
        <v xml:space="preserve"> - </v>
      </c>
      <c r="E18" s="848">
        <f>SUBTOTAL(9,E14:E17)</f>
        <v>2485</v>
      </c>
      <c r="F18" s="849">
        <f>IF(ISNUMBER(E18/B18),E18/B18," - ")</f>
        <v>248.5</v>
      </c>
      <c r="G18" s="848">
        <f>SUBTOTAL(9,G14:G17)</f>
        <v>2230</v>
      </c>
      <c r="H18" s="849">
        <f>IF(ISNUMBER(G18/B18),G18/B18," - ")</f>
        <v>223</v>
      </c>
      <c r="I18" s="848">
        <f>SUBTOTAL(9,I14:I17)</f>
        <v>6653</v>
      </c>
      <c r="J18" s="849">
        <f>IF(ISNUMBER(I18/B18),I18/B18," - ")</f>
        <v>665.3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16031</v>
      </c>
      <c r="D19" s="794" t="str">
        <f>IF(ISNUMBER(C19/Datos!BI19),C19/Datos!BI19," - ")</f>
        <v xml:space="preserve"> - </v>
      </c>
      <c r="E19" s="793">
        <f>SUBTOTAL(9,E9:E18)</f>
        <v>4691</v>
      </c>
      <c r="F19" s="794">
        <f>IF(ISNUMBER(E19/B19),E19/B19," - ")</f>
        <v>469.1</v>
      </c>
      <c r="G19" s="793">
        <f>SUBTOTAL(9,G9:G18)</f>
        <v>4870</v>
      </c>
      <c r="H19" s="794">
        <f>IF(ISNUMBER(G19/B19),G19/B19," - ")</f>
        <v>487</v>
      </c>
      <c r="I19" s="793">
        <f>SUBTOTAL(9,I9:I18)</f>
        <v>15703</v>
      </c>
      <c r="J19" s="794">
        <f>IF(ISNUMBER(I19/B19),I19/B19," - ")</f>
        <v>1570.3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1ktKCD7qkjR2hjvoO7CtIjlADbNq3H20ztGmAXXTvZNf+dyS6CtGMasaqOG4wsR1fyDovRH9WdbPqxTAodOkGg==" saltValue="mEBNsr6n9wCYNMBZBGAa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VENDRELL,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88</v>
      </c>
      <c r="G10" s="683">
        <f>IF(ISNUMBER(Datos!I10),Datos!I10," - ")</f>
        <v>88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96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16483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627</v>
      </c>
      <c r="AM12" s="689">
        <f>IF(ISNUMBER(Datos!N12+DatosP!N16),Datos!N12+DatosP!N16," - ")</f>
        <v>1230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10.315668202764979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2.1061760515393668E-2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88</v>
      </c>
      <c r="G13" s="937">
        <f t="shared" si="0"/>
        <v>88</v>
      </c>
      <c r="H13" s="937">
        <f t="shared" si="0"/>
        <v>0</v>
      </c>
      <c r="I13" s="939">
        <f t="shared" si="0"/>
        <v>0</v>
      </c>
      <c r="J13" s="938">
        <f t="shared" si="0"/>
        <v>0</v>
      </c>
      <c r="K13" s="938">
        <f t="shared" si="0"/>
        <v>0</v>
      </c>
      <c r="L13" s="940">
        <f t="shared" si="0"/>
        <v>0</v>
      </c>
      <c r="M13" s="940">
        <f t="shared" si="0"/>
        <v>0</v>
      </c>
      <c r="N13" s="938">
        <f t="shared" si="0"/>
        <v>1075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716</v>
      </c>
      <c r="AE13" s="938">
        <f t="shared" si="1"/>
        <v>0</v>
      </c>
      <c r="AF13" s="938">
        <f t="shared" si="1"/>
        <v>96</v>
      </c>
      <c r="AG13" s="938">
        <f t="shared" si="1"/>
        <v>0</v>
      </c>
      <c r="AH13" s="938">
        <f t="shared" si="1"/>
        <v>16483</v>
      </c>
      <c r="AI13" s="938">
        <f t="shared" si="1"/>
        <v>0</v>
      </c>
      <c r="AJ13" s="938">
        <f t="shared" si="1"/>
        <v>0</v>
      </c>
      <c r="AK13" s="938">
        <f t="shared" si="1"/>
        <v>0</v>
      </c>
      <c r="AL13" s="938">
        <f t="shared" si="1"/>
        <v>639</v>
      </c>
      <c r="AM13" s="938">
        <f t="shared" si="1"/>
        <v>1247</v>
      </c>
      <c r="AN13" s="938">
        <f t="shared" si="1"/>
        <v>0</v>
      </c>
      <c r="AO13" s="938">
        <f t="shared" si="1"/>
        <v>0</v>
      </c>
      <c r="AP13" s="943">
        <f>IF(ISNUMBER(((Datos!L13/Datos!K13)*11)/factor_trimestre),((Datos!L13/Datos!K13)*11)/factor_trimestre," - ")</f>
        <v>10.479240806642942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-0.40909090909090912</v>
      </c>
      <c r="AU13" s="938" t="str">
        <f>IF(ISNUMBER((DatosP!#REF!-DatosP!#REF!+DatosP!#REF!)/(DatosP!#REF!+DatosP!#REF!-DatosP!#REF!-DatosP!#REF!)),(DatosP!#REF!-DatosP!#REF!+DatosP!#REF!)/(DatosP!#REF!+DatosP!#REF!-DatosP!#REF!-DatosP!#REF!)," - ")</f>
        <v xml:space="preserve"> - </v>
      </c>
      <c r="AV13" s="944">
        <f>SUBTOTAL(9,AV9:AV12)</f>
        <v>2.1061760515393668E-2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8.9502242152466387</v>
      </c>
      <c r="AQ18" s="943">
        <f>IF(ISNUMBER(((Datos!M18/Datos!L18)*11)/factor_trimestre),((Datos!M18/Datos!L18)*11)/factor_trimestre," - ")</f>
        <v>0.11543664512250114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1.643835616438356E-2</v>
      </c>
      <c r="AW18" s="945">
        <f>IF(ISNUMBER((Datos!Q18-Datos!R18)/(Datos!S18-Datos!Q18+Datos!R18)),(Datos!Q18-Datos!R18)/(Datos!S18-Datos!Q18+Datos!R18)," - ")</f>
        <v>-6.044243163211984E-2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88</v>
      </c>
      <c r="G19" s="950">
        <f t="shared" si="4"/>
        <v>88</v>
      </c>
      <c r="H19" s="950">
        <f t="shared" si="4"/>
        <v>0</v>
      </c>
      <c r="I19" s="951">
        <f t="shared" si="4"/>
        <v>0</v>
      </c>
      <c r="J19" s="952">
        <f t="shared" si="4"/>
        <v>0</v>
      </c>
      <c r="K19" s="952">
        <f t="shared" si="4"/>
        <v>0</v>
      </c>
      <c r="L19" s="952">
        <f t="shared" si="4"/>
        <v>0</v>
      </c>
      <c r="M19" s="952">
        <f t="shared" si="4"/>
        <v>0</v>
      </c>
      <c r="N19" s="951">
        <f t="shared" si="4"/>
        <v>1075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716</v>
      </c>
      <c r="AE19" s="956">
        <f t="shared" si="5"/>
        <v>0</v>
      </c>
      <c r="AF19" s="957">
        <f t="shared" si="5"/>
        <v>96</v>
      </c>
      <c r="AG19" s="957">
        <f t="shared" si="5"/>
        <v>0</v>
      </c>
      <c r="AH19" s="957">
        <f t="shared" si="5"/>
        <v>16483</v>
      </c>
      <c r="AI19" s="957">
        <f t="shared" si="5"/>
        <v>0</v>
      </c>
      <c r="AJ19" s="958">
        <f t="shared" si="5"/>
        <v>0</v>
      </c>
      <c r="AK19" s="958">
        <f t="shared" si="5"/>
        <v>0</v>
      </c>
      <c r="AL19" s="950">
        <f t="shared" si="5"/>
        <v>639</v>
      </c>
      <c r="AM19" s="950">
        <f t="shared" si="5"/>
        <v>1247</v>
      </c>
      <c r="AN19" s="950">
        <f t="shared" si="5"/>
        <v>0</v>
      </c>
      <c r="AO19" s="950">
        <f t="shared" si="5"/>
        <v>0</v>
      </c>
      <c r="AP19" s="950">
        <f>IF(ISNUMBER(((Datos!L19/Datos!K19)*11)/factor_trimestre),((Datos!L19/Datos!K19)*11)/factor_trimestre," - ")</f>
        <v>9.7627652868249637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-0.40909090909090912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2.164762477450391E-2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4.8027769744874336</v>
      </c>
      <c r="F21" s="735">
        <f>IF(ISNUMBER(STDEV(F8:F18)),STDEV(F8:F18),"-")</f>
        <v>50.806823688687061</v>
      </c>
      <c r="G21" s="736">
        <f>IF(ISNUMBER(STDEV(G8:G18)),STDEV(G8:G18),"-")</f>
        <v>50.806823688687061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362.06491130735105</v>
      </c>
      <c r="AM21" s="735"/>
      <c r="AN21" s="735">
        <f>IF(ISNUMBER(STDEV(AN8:AN18)),STDEV(AN8:AN18),"-")</f>
        <v>0</v>
      </c>
      <c r="AO21" s="741">
        <f>IF(ISNUMBER(STDEV(AO8:AO18)),STDEV(AO8:AO18),"-")</f>
        <v>0</v>
      </c>
      <c r="AP21" s="778">
        <f>IF(ISNUMBER(STDEV(AP8:AP18)),STDEV(AP8:AP18),"-")</f>
        <v>1.1776022700957569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3RmwXaNvb2VOxngIrosY8HoiveQTdZg/h6/0S9El25HBvBpvN8sxFRg6w5vplD9FewMAzyJ86E1m/jCcaxHhGA==" saltValue="jhisd1CrLg7zPSgRrcqt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VENDRELL,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Ft93eFsrqusMXKc/uSBC+v00K6MWe+8+W0OOXRr5AKnqdD3xg46th8UHqFNr78WsOlcZNRrOCkhPei1IHTODg==" saltValue="rUKukogJfGx/lLcrXQl3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VENDRELL, EL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12</v>
      </c>
      <c r="E10" s="403">
        <f>IF(ISNUMBER(D10/B10),D10/B10," - ")</f>
        <v>12</v>
      </c>
      <c r="F10" s="402">
        <f>IF(ISNUMBER(Datos!N10),Datos!N10," - ")</f>
        <v>17</v>
      </c>
      <c r="G10" s="403">
        <f>IF(ISNUMBER(F10/B10),F10/B10," - ")</f>
        <v>17</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627</v>
      </c>
      <c r="E12" s="403">
        <f t="shared" si="0"/>
        <v>69.666666666666671</v>
      </c>
      <c r="F12" s="402">
        <f>IF(ISNUMBER(Datos!N12),Datos!N12," - ")</f>
        <v>1230</v>
      </c>
      <c r="G12" s="403">
        <f t="shared" si="1"/>
        <v>136.66666666666666</v>
      </c>
      <c r="H12" s="402">
        <f>IF(ISNUMBER(Datos!O12),Datos!O12," - ")</f>
        <v>926</v>
      </c>
      <c r="I12" s="403">
        <f t="shared" si="2"/>
        <v>102.88888888888889</v>
      </c>
      <c r="BZ12" s="1185">
        <f>Datos!EZ12</f>
        <v>0</v>
      </c>
    </row>
    <row r="13" spans="1:78" ht="14.25" thickTop="1" thickBot="1">
      <c r="A13" s="847" t="str">
        <f>Datos!A13</f>
        <v>TOTAL</v>
      </c>
      <c r="B13" s="848">
        <f>Datos!AP13</f>
        <v>10</v>
      </c>
      <c r="C13" s="850">
        <f>Datos!AR13</f>
        <v>10</v>
      </c>
      <c r="D13" s="848">
        <f>SUBTOTAL(9,D9:D12)</f>
        <v>639</v>
      </c>
      <c r="E13" s="849">
        <f t="shared" si="0"/>
        <v>63.9</v>
      </c>
      <c r="F13" s="848">
        <f>SUBTOTAL(9,F9:F12)</f>
        <v>1247</v>
      </c>
      <c r="G13" s="849">
        <f t="shared" si="1"/>
        <v>124.7</v>
      </c>
      <c r="H13" s="848">
        <f>SUBTOTAL(9,H9:H12)</f>
        <v>937</v>
      </c>
      <c r="I13" s="849">
        <f>IF(ISNUMBER(H13/B13),H13/B13," - ")</f>
        <v>93.7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232</v>
      </c>
      <c r="E16" s="403">
        <f t="shared" si="3"/>
        <v>25.777777777777779</v>
      </c>
      <c r="F16" s="402">
        <f>IF(ISNUMBER(Datos!N16),Datos!N16," - ")</f>
        <v>1285</v>
      </c>
      <c r="G16" s="403">
        <f t="shared" si="4"/>
        <v>142.77777777777777</v>
      </c>
      <c r="H16" s="402">
        <f>IF(ISNUMBER(Datos!O16),Datos!O16," - ")</f>
        <v>4</v>
      </c>
      <c r="I16" s="403">
        <f t="shared" si="5"/>
        <v>0.44444444444444442</v>
      </c>
      <c r="BZ16" s="1185">
        <f>Datos!EZ16</f>
        <v>0</v>
      </c>
    </row>
    <row r="17" spans="1:78" ht="13.5" thickBot="1">
      <c r="A17" s="401" t="str">
        <f>Datos!A17</f>
        <v>Jdos. Violencia contra la mujer/Secc Viol. TI.</v>
      </c>
      <c r="B17" s="426">
        <f>Datos!AO17</f>
        <v>1</v>
      </c>
      <c r="C17" s="427">
        <f>Datos!AQ17</f>
        <v>1</v>
      </c>
      <c r="D17" s="402">
        <f>IF(ISNUMBER(Datos!M17),Datos!M17," - ")</f>
        <v>24</v>
      </c>
      <c r="E17" s="403">
        <f>IF(ISNUMBER(D17/B17),D17/B17," - ")</f>
        <v>24</v>
      </c>
      <c r="F17" s="402">
        <f>IF(ISNUMBER(Datos!N17),Datos!N17," - ")</f>
        <v>125</v>
      </c>
      <c r="G17" s="403">
        <f>IF(ISNUMBER(F17/B17),F17/B17," - ")</f>
        <v>125</v>
      </c>
      <c r="H17" s="402">
        <f>IF(ISNUMBER(Datos!O17),Datos!O17," - ")</f>
        <v>1</v>
      </c>
      <c r="I17" s="403">
        <f t="shared" si="5"/>
        <v>1</v>
      </c>
      <c r="BZ17" s="1185">
        <f>Datos!EZ17</f>
        <v>0</v>
      </c>
    </row>
    <row r="18" spans="1:78" ht="14.25" thickTop="1" thickBot="1">
      <c r="A18" s="847" t="str">
        <f>Datos!A18</f>
        <v>TOTAL</v>
      </c>
      <c r="B18" s="848">
        <f>Datos!AP18</f>
        <v>10</v>
      </c>
      <c r="C18" s="850">
        <f>Datos!AR18</f>
        <v>10</v>
      </c>
      <c r="D18" s="848">
        <f>SUBTOTAL(9,D15:D17)</f>
        <v>256</v>
      </c>
      <c r="E18" s="849">
        <f t="shared" si="3"/>
        <v>25.6</v>
      </c>
      <c r="F18" s="848">
        <f>SUBTOTAL(9,F15:F17)</f>
        <v>1410</v>
      </c>
      <c r="G18" s="849">
        <f t="shared" si="4"/>
        <v>141</v>
      </c>
      <c r="H18" s="848">
        <f>SUBTOTAL(9,H15:H17)</f>
        <v>5</v>
      </c>
      <c r="I18" s="849">
        <f>IF(ISNUMBER(H18/B18),H18/B18," - ")</f>
        <v>0.5</v>
      </c>
      <c r="BZ18" s="1185"/>
    </row>
    <row r="19" spans="1:78" ht="14.25" thickTop="1" thickBot="1">
      <c r="A19" s="792" t="str">
        <f>Datos!A19</f>
        <v>TOTAL JURISDICCIONES</v>
      </c>
      <c r="B19" s="793">
        <f>Datos!AP19</f>
        <v>10</v>
      </c>
      <c r="C19" s="793">
        <f>Datos!AR19</f>
        <v>10</v>
      </c>
      <c r="D19" s="793">
        <f>SUBTOTAL(9,D8:D18)</f>
        <v>895</v>
      </c>
      <c r="E19" s="794">
        <f>IF(ISNUMBER(D19/B19),D19/B19," - ")</f>
        <v>89.5</v>
      </c>
      <c r="F19" s="793">
        <f>SUBTOTAL(9,F8:F18)</f>
        <v>2657</v>
      </c>
      <c r="G19" s="794">
        <f>IF(ISNUMBER(F19/B19),F19/B19," - ")</f>
        <v>265.7</v>
      </c>
      <c r="H19" s="793">
        <f>SUBTOTAL(9,H8:H18)</f>
        <v>942</v>
      </c>
      <c r="I19" s="794">
        <f>IF(ISNUMBER(H19/B19),H19/B19," - ")</f>
        <v>94.2</v>
      </c>
    </row>
    <row r="22" spans="1:78">
      <c r="A22" s="390" t="str">
        <f>Criterios!A4</f>
        <v>Fecha Informe: 17 mar. 2026</v>
      </c>
    </row>
    <row r="27" spans="1:78">
      <c r="A27" s="413"/>
    </row>
  </sheetData>
  <sheetProtection algorithmName="SHA-512" hashValue="MGn1TRcgHC4R4VNlmqwQPPk3UoyiH7j7bVwxFJ9pMF2UYj446Wjl6Enl2wZM8VCENOArU6S0xPZiQCJ+/lVA6g==" saltValue="hf+5eqoCjxFaIOxIWZLK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VENDRELL, EL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19</v>
      </c>
      <c r="C10" s="433">
        <f>IF(ISNUMBER(Datos!Q10),Datos!Q10," - ")</f>
        <v>5</v>
      </c>
      <c r="D10" s="407">
        <f>IF(ISNUMBER(Datos!R10),Datos!R10," - ")</f>
        <v>136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1056</v>
      </c>
      <c r="C12" s="433">
        <f>IF(ISNUMBER(Datos!Q12),Datos!Q12," - ")</f>
        <v>716</v>
      </c>
      <c r="D12" s="407">
        <f>IF(ISNUMBER(Datos!R12),Datos!R12," - ")</f>
        <v>16483</v>
      </c>
    </row>
    <row r="13" spans="1:4" ht="14.25" thickTop="1" thickBot="1">
      <c r="A13" s="847" t="str">
        <f>Datos!A13</f>
        <v>TOTAL</v>
      </c>
      <c r="B13" s="848">
        <f>SUBTOTAL(9,B9:B12)</f>
        <v>1075</v>
      </c>
      <c r="C13" s="852">
        <f>SUBTOTAL(9,C9:C12)</f>
        <v>721</v>
      </c>
      <c r="D13" s="850">
        <f>SUBTOTAL(9,D9:D12)</f>
        <v>16619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23</v>
      </c>
      <c r="D16" s="407">
        <f>IF(ISNUMBER(Datos!R16),Datos!R16," - ")</f>
        <v>371</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30</v>
      </c>
      <c r="C18" s="852">
        <f>SUBTOTAL(9,C15:C17)</f>
        <v>24</v>
      </c>
      <c r="D18" s="850">
        <f>SUBTOTAL(9,D15:D17)</f>
        <v>371</v>
      </c>
    </row>
    <row r="19" spans="1:4" ht="16.5" customHeight="1" thickTop="1" thickBot="1">
      <c r="A19" s="792" t="str">
        <f>Datos!A19</f>
        <v>TOTAL JURISDICCIONES</v>
      </c>
      <c r="B19" s="797">
        <f>SUBTOTAL(9,B8:B18)</f>
        <v>1105</v>
      </c>
      <c r="C19" s="798">
        <f>SUBTOTAL(9,C8:C18)</f>
        <v>745</v>
      </c>
      <c r="D19" s="799">
        <f>SUBTOTAL(9,D8:D18)</f>
        <v>16990</v>
      </c>
    </row>
    <row r="20" spans="1:4" ht="7.5" customHeight="1"/>
    <row r="21" spans="1:4" ht="6" customHeight="1"/>
    <row r="22" spans="1:4">
      <c r="A22" s="390" t="str">
        <f>Criterios!A4</f>
        <v>Fecha Informe: 17 mar. 2026</v>
      </c>
    </row>
    <row r="27" spans="1:4">
      <c r="A27" s="413"/>
    </row>
  </sheetData>
  <sheetProtection algorithmName="SHA-512" hashValue="481jY2jt955SPd3VAZY7YBoT7kPoezJkrIoEjJMkpfzc72lEJXeAZY6j+EuiZ89v/g39bCwVVVnfwnyjJqvA0g==" saltValue="xl5k+iv8jDg3+RURgINR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VENDRELL, EL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-9.2783505154639179E-2</v>
      </c>
      <c r="C10" s="455">
        <f>IF(ISNUMBER((Datos!J10-Datos!T10)/Datos!T10),(Datos!J10-Datos!T10)/Datos!T10," - ")</f>
        <v>-0.12</v>
      </c>
      <c r="D10" s="455">
        <f>IF(ISNUMBER((Datos!K10-Datos!U10)/Datos!U10),(Datos!K10-Datos!U10)/Datos!U10," - ")</f>
        <v>-0.33333333333333331</v>
      </c>
      <c r="E10" s="455">
        <f>IF(ISNUMBER((Datos!L10-Datos!V10)/Datos!V10),(Datos!L10-Datos!V10)/Datos!V10," - ")</f>
        <v>3.2258064516129031E-2</v>
      </c>
      <c r="F10" s="455">
        <f>IF(ISNUMBER((Datos!M10-Datos!W10)/Datos!W10),(Datos!M10-Datos!W10)/Datos!W10," - ")</f>
        <v>-0.29411764705882354</v>
      </c>
      <c r="G10" s="456">
        <f>IF(ISNUMBER((Datos!N10-Datos!X10)/Datos!X10),(Datos!N10-Datos!X10)/Datos!X10," - ")</f>
        <v>-0.19047619047619047</v>
      </c>
      <c r="H10" s="454">
        <f>IF(ISNUMBER(((NºAsuntos!G10/NºAsuntos!E10)-Datos!BD10)/Datos!BD10),((NºAsuntos!G10/NºAsuntos!E10)-Datos!BD10)/Datos!BD10," - ")</f>
        <v>-0.24242424242424243</v>
      </c>
      <c r="I10" s="455">
        <f>IF(ISNUMBER(((NºAsuntos!I10/NºAsuntos!G10)-Datos!BE10)/Datos!BE10),((NºAsuntos!I10/NºAsuntos!G10)-Datos!BE10)/Datos!BE10," - ")</f>
        <v>0.54838709677419339</v>
      </c>
      <c r="J10" s="460">
        <f>IF(ISNUMBER((('Resol  Asuntos'!D10/NºAsuntos!G10)-Datos!BF10)/Datos!BF10),(('Resol  Asuntos'!D10/NºAsuntos!G10)-Datos!BF10)/Datos!BF10," - ")</f>
        <v>5.8823529411764615E-2</v>
      </c>
      <c r="K10" s="461">
        <f>IF(ISNUMBER((((NºAsuntos!C10+NºAsuntos!E10)/NºAsuntos!G10)-Datos!BG10)/Datos!BG10),(((NºAsuntos!C10+NºAsuntos!E10)/NºAsuntos!G10)-Datos!BG10)/Datos!BG10," - ")</f>
        <v>0.34693877551020397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8.3487084870848702E-2</v>
      </c>
      <c r="C12" s="455">
        <f>IF(ISNUMBER(
   IF(J_V="SI",(Datos!J12-Datos!T12)/Datos!T12,(Datos!J12+Datos!Z12-(Datos!T12+Datos!AH12))/(Datos!T12+Datos!AH12))
     ),IF(J_V="SI",(Datos!J12-Datos!T12)/Datos!T12,(Datos!J12+Datos!Z12-(Datos!T12+Datos!AH12))/(Datos!T12+Datos!AH12))," - ")</f>
        <v>-0.20892791803878522</v>
      </c>
      <c r="D12" s="455">
        <f>IF(ISNUMBER(
   IF(J_V="SI",(Datos!K12-Datos!U12)/Datos!U12,(Datos!K12+Datos!AA12-(Datos!U12+Datos!AI12))/(Datos!U12+Datos!AI12))
     ),IF(J_V="SI",(Datos!K12-Datos!U12)/Datos!U12,(Datos!K12+Datos!AA12-(Datos!U12+Datos!AI12))/(Datos!U12+Datos!AI12))," - ")</f>
        <v>7.3814432989690718E-2</v>
      </c>
      <c r="E12" s="455">
        <f>IF(ISNUMBER(
   IF(J_V="SI",(Datos!L12-Datos!V12)/Datos!V12,(Datos!L12+Datos!AB12-(Datos!V12+Datos!AJ12))/(Datos!V12+Datos!AJ12))
     ),IF(J_V="SI",(Datos!L12-Datos!V12)/Datos!V12,(Datos!L12+Datos!AB12-(Datos!V12+Datos!AJ12))/(Datos!V12+Datos!AJ12))," - ")</f>
        <v>-2.8953229398663697E-3</v>
      </c>
      <c r="F12" s="455">
        <f>IF(ISNUMBER((Datos!M12-Datos!W12)/Datos!W12),(Datos!M12-Datos!W12)/Datos!W12," - ")</f>
        <v>0.12567324955116696</v>
      </c>
      <c r="G12" s="456">
        <f>IF(ISNUMBER((Datos!N12-Datos!X12)/Datos!X12),(Datos!N12-Datos!X12)/Datos!X12," - ")</f>
        <v>0.83308494783904619</v>
      </c>
      <c r="H12" s="454">
        <f>IF(ISNUMBER(((NºAsuntos!G12/NºAsuntos!E12)-Datos!BD12)/Datos!BD12),((NºAsuntos!G12/NºAsuntos!E12)-Datos!BD12)/Datos!BD12," - ")</f>
        <v>0.35741667222979867</v>
      </c>
      <c r="I12" s="455">
        <f>IF(ISNUMBER(((NºAsuntos!I12/NºAsuntos!G12)-Datos!BE12)/Datos!BE12),((NºAsuntos!I12/NºAsuntos!G12)-Datos!BE12)/Datos!BE12," - ")</f>
        <v>-7.1436696670190467E-2</v>
      </c>
      <c r="J12" s="460">
        <f>IF(ISNUMBER((('Resol  Asuntos'!D12/NºAsuntos!G12)-Datos!BF12)/Datos!BF12),(('Resol  Asuntos'!D12/NºAsuntos!G12)-Datos!BF12)/Datos!BF12," - ")</f>
        <v>-0.12980660270454025</v>
      </c>
      <c r="K12" s="461">
        <f>IF(ISNUMBER((((NºAsuntos!C12+NºAsuntos!E12)/NºAsuntos!G12)-Datos!BG12)/Datos!BG12),(((NºAsuntos!C12+NºAsuntos!E12)/NºAsuntos!G12)-Datos!BG12)/Datos!BG12," - ")</f>
        <v>-5.6247394660088684E-2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8.153723343596761E-2</v>
      </c>
      <c r="C13" s="854">
        <f>IF(ISNUMBER(
   IF(J_V="SI",(Datos!J13-Datos!T13)/Datos!T13,(Datos!J13+Datos!Z13-(Datos!T13+Datos!AH13))/(Datos!T13+Datos!AH13))
     ),IF(J_V="SI",(Datos!J13-Datos!T13)/Datos!T13,(Datos!J13+Datos!Z13-(Datos!T13+Datos!AH13))/(Datos!T13+Datos!AH13))," - ")</f>
        <v>-0.20733021918792668</v>
      </c>
      <c r="D13" s="854">
        <f>IF(ISNUMBER(
   IF(J_V="SI",(Datos!K13-Datos!U13)/Datos!U13,(Datos!K13+Datos!AA13-(Datos!U13+Datos!AI13))/(Datos!U13+Datos!AI13))
     ),IF(J_V="SI",(Datos!K13-Datos!U13)/Datos!U13,(Datos!K13+Datos!AA13-(Datos!U13+Datos!AI13))/(Datos!U13+Datos!AI13))," - ")</f>
        <v>6.494554255748286E-2</v>
      </c>
      <c r="E13" s="854">
        <f>IF(ISNUMBER(
   IF(J_V="SI",(Datos!L13-Datos!V13)/Datos!V13,(Datos!L13+Datos!AB13-(Datos!V13+Datos!AJ13))/(Datos!V13+Datos!AJ13))
     ),IF(J_V="SI",(Datos!L13-Datos!V13)/Datos!V13,(Datos!L13+Datos!AB13-(Datos!V13+Datos!AJ13))/(Datos!V13+Datos!AJ13))," - ")</f>
        <v>-2.5349939380579743E-3</v>
      </c>
      <c r="F13" s="855">
        <f>IF(ISNUMBER((Datos!M13-Datos!W13)/Datos!W13),(Datos!M13-Datos!W13)/Datos!W13," - ")</f>
        <v>0.1132404181184669</v>
      </c>
      <c r="G13" s="856">
        <f>IF(ISNUMBER((Datos!N13-Datos!X13)/Datos!X13),(Datos!N13-Datos!X13)/Datos!X13," - ")</f>
        <v>0.80202312138728327</v>
      </c>
      <c r="H13" s="856">
        <f>IF(ISNUMBER(((NºAsuntos!G13/NºAsuntos!E13)-Datos!BD13)/Datos!BD13),((NºAsuntos!G13/NºAsuntos!E13)-Datos!BD13)/Datos!BD13," - ")</f>
        <v>0.34349204212940837</v>
      </c>
      <c r="I13" s="856">
        <f>IF(ISNUMBER(((NºAsuntos!I13/NºAsuntos!G13)-Datos!BE13)/Datos!BE13),((NºAsuntos!I13/NºAsuntos!G13)-Datos!BE13)/Datos!BE13," - ")</f>
        <v>-6.3365246201683975E-2</v>
      </c>
      <c r="J13" s="856">
        <f>IF(ISNUMBER((('Resol  Asuntos'!D13/NºAsuntos!G13)-Datos!BF13)/Datos!BF13),(('Resol  Asuntos'!D13/NºAsuntos!G13)-Datos!BF13)/Datos!BF13," - ")</f>
        <v>-0.12786238107822406</v>
      </c>
      <c r="K13" s="856">
        <f>IF(ISNUMBER((((NºAsuntos!C13+NºAsuntos!E13)/NºAsuntos!G13)-Datos!BG13)/Datos!BG13),(((NºAsuntos!C13+NºAsuntos!E13)/NºAsuntos!G13)-Datos!BG13)/Datos!BG13," - ")</f>
        <v>-4.9767389091748597E-2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0.22314674735249621</v>
      </c>
      <c r="C16" s="455">
        <f>IF(ISNUMBER(
   IF(D_I="SI",(Datos!J16-Datos!T16)/Datos!T16,(Datos!J16+Datos!AD16-(Datos!T16+Datos!AL16))/(Datos!T16+Datos!AL16))
     ),IF(D_I="SI",(Datos!J16-Datos!T16)/Datos!T16,(Datos!J16+Datos!AD16-(Datos!T16+Datos!AL16))/(Datos!T16+Datos!AL16))," - ")</f>
        <v>-6.7155067155067152E-2</v>
      </c>
      <c r="D16" s="455">
        <f>IF(ISNUMBER(
   IF(D_I="SI",(Datos!K16-Datos!U16)/Datos!U16,(Datos!K16+Datos!AE16-(Datos!U16+Datos!AM16))/(Datos!U16+Datos!AM16))
     ),IF(D_I="SI",(Datos!K16-Datos!U16)/Datos!U16,(Datos!K16+Datos!AE16-(Datos!U16+Datos!AM16))/(Datos!U16+Datos!AM16))," - ")</f>
        <v>-0.20165745856353592</v>
      </c>
      <c r="E16" s="455">
        <f>IF(ISNUMBER(
   IF(D_I="SI",(Datos!L16-Datos!V16)/Datos!V16,(Datos!L16+Datos!AF16-(Datos!V16+Datos!AN16))/(Datos!V16+Datos!AN16))
     ),IF(D_I="SI",(Datos!L16-Datos!V16)/Datos!V16,(Datos!L16+Datos!AF16-(Datos!V16+Datos!AN16))/(Datos!V16+Datos!AN16))," - ")</f>
        <v>0.26019529006318209</v>
      </c>
      <c r="F16" s="455">
        <f>IF(ISNUMBER((Datos!M16-Datos!W16)/Datos!W16),(Datos!M16-Datos!W16)/Datos!W16," - ")</f>
        <v>-0.2292358803986711</v>
      </c>
      <c r="G16" s="456">
        <f>IF(ISNUMBER((Datos!N16-Datos!X16)/Datos!X16),(Datos!N16-Datos!X16)/Datos!X16," - ")</f>
        <v>-0.13526244952893673</v>
      </c>
      <c r="H16" s="454">
        <f>IF(ISNUMBER(((NºAsuntos!G16/NºAsuntos!E16)-Datos!BD16)/Datos!BD16),((NºAsuntos!G16/NºAsuntos!E16)-Datos!BD16)/Datos!BD16," - ")</f>
        <v>-0.14418515518787431</v>
      </c>
      <c r="I16" s="455">
        <f>IF(ISNUMBER(((NºAsuntos!I16/NºAsuntos!G16)-Datos!BE16)/Datos!BE16),((NºAsuntos!I16/NºAsuntos!G16)-Datos!BE16)/Datos!BE16," - ")</f>
        <v>0.57851451558087164</v>
      </c>
      <c r="J16" s="460">
        <f>IF(ISNUMBER((('Resol  Asuntos'!D16/NºAsuntos!G16)-Datos!BF16)/Datos!BF16),(('Resol  Asuntos'!D16/NºAsuntos!G16)-Datos!BF16)/Datos!BF16," - ")</f>
        <v>-3.4544597592799049E-2</v>
      </c>
      <c r="K16" s="461">
        <f>IF(ISNUMBER((((NºAsuntos!C16+NºAsuntos!E16)/NºAsuntos!G16)-Datos!BG16)/Datos!BG16),(((NºAsuntos!C16+NºAsuntos!E16)/NºAsuntos!G16)-Datos!BG16)/Datos!BG16," - ")</f>
        <v>0.41675062156408543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-0.25471698113207547</v>
      </c>
      <c r="C17" s="455">
        <f>IF(ISNUMBER(
   IF(D_I="SI",(Datos!J17-Datos!T17)/Datos!T17,(Datos!J17+Datos!AD17-(Datos!T17+Datos!AL17))/(Datos!T17+Datos!AL17))
     ),IF(D_I="SI",(Datos!J17-Datos!T17)/Datos!T17,(Datos!J17+Datos!AD17-(Datos!T17+Datos!AL17))/(Datos!T17+Datos!AL17))," - ")</f>
        <v>-0.11872146118721461</v>
      </c>
      <c r="D17" s="455">
        <f>IF(ISNUMBER(
   IF(D_I="SI",(Datos!K17-Datos!U17)/Datos!U17,(Datos!K17+Datos!AE17-(Datos!U17+Datos!AM17))/(Datos!U17+Datos!AM17))
     ),IF(D_I="SI",(Datos!K17-Datos!U17)/Datos!U17,(Datos!K17+Datos!AE17-(Datos!U17+Datos!AM17))/(Datos!U17+Datos!AM17))," - ")</f>
        <v>-0.14814814814814814</v>
      </c>
      <c r="E17" s="455">
        <f>IF(ISNUMBER(
   IF(D_I="SI",(Datos!L17-Datos!V17)/Datos!V17,(Datos!L17+Datos!AF17-(Datos!V17+Datos!AN17))/(Datos!V17+Datos!AN17))
     ),IF(D_I="SI",(Datos!L17-Datos!V17)/Datos!V17,(Datos!L17+Datos!AF17-(Datos!V17+Datos!AN17))/(Datos!V17+Datos!AN17))," - ")</f>
        <v>-0.22826086956521738</v>
      </c>
      <c r="F17" s="455">
        <f>IF(ISNUMBER((Datos!M17-Datos!W17)/Datos!W17),(Datos!M17-Datos!W17)/Datos!W17," - ")</f>
        <v>0.7142857142857143</v>
      </c>
      <c r="G17" s="456">
        <f>IF(ISNUMBER((Datos!N17-Datos!X17)/Datos!X17),(Datos!N17-Datos!X17)/Datos!X17," - ")</f>
        <v>-0.10714285714285714</v>
      </c>
      <c r="H17" s="454">
        <f>IF(ISNUMBER(((NºAsuntos!G17/NºAsuntos!E17)-Datos!BD17)/Datos!BD17),((NºAsuntos!G17/NºAsuntos!E17)-Datos!BD17)/Datos!BD17," - ")</f>
        <v>-3.3390903857225061E-2</v>
      </c>
      <c r="I17" s="455">
        <f>IF(ISNUMBER(((NºAsuntos!I17/NºAsuntos!G17)-Datos!BE17)/Datos!BE17),((NºAsuntos!I17/NºAsuntos!G17)-Datos!BE17)/Datos!BE17," - ")</f>
        <v>-9.4045368620037734E-2</v>
      </c>
      <c r="J17" s="460">
        <f>IF(ISNUMBER((('Resol  Asuntos'!D17/NºAsuntos!G17)-Datos!BF17)/Datos!BF17),(('Resol  Asuntos'!D17/NºAsuntos!G17)-Datos!BF17)/Datos!BF17," - ")</f>
        <v>1.0124223602484472</v>
      </c>
      <c r="K17" s="461">
        <f>IF(ISNUMBER((((NºAsuntos!C17+NºAsuntos!E17)/NºAsuntos!G17)-Datos!BG17)/Datos!BG17),(((NºAsuntos!C17+NºAsuntos!E17)/NºAsuntos!G17)-Datos!BG17)/Datos!BG17," - ")</f>
        <v>-1.7525083612040099E-2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0.21375602521319986</v>
      </c>
      <c r="C18" s="854">
        <f>IF(ISNUMBER(
   IF(Criterios!B14="SI",(Datos!J18-Datos!T18)/Datos!T18,(Datos!J18+Datos!AD18-(Datos!T18+Datos!AL18))/(Datos!T18+Datos!AL18))
     ),IF(Criterios!B14="SI",(Datos!J18-Datos!T18)/Datos!T18,(Datos!J18+Datos!AD18-(Datos!T18+Datos!AL18))/(Datos!T18+Datos!AL18))," - ")</f>
        <v>-7.1375186846038857E-2</v>
      </c>
      <c r="D18" s="854">
        <f>IF(ISNUMBER(
   IF(Criterios!B14="SI",(Datos!K18-Datos!U18)/Datos!U18,(Datos!K18+Datos!AE18-(Datos!U18+Datos!AM18))/(Datos!U18+Datos!AM18))
     ),IF(Criterios!B14="SI",(Datos!K18-Datos!U18)/Datos!U18,(Datos!K18+Datos!AE18-(Datos!U18+Datos!AM18))/(Datos!U18+Datos!AM18))," - ")</f>
        <v>-0.19697515304285199</v>
      </c>
      <c r="E18" s="854">
        <f>IF(ISNUMBER(
   IF(Criterios!B14="SI",(Datos!L18-Datos!V18)/Datos!V18,(Datos!L18+Datos!AF18-(Datos!V18+Datos!AN18))/(Datos!V18+Datos!AN18))
     ),IF(Criterios!B14="SI",(Datos!L18-Datos!V18)/Datos!V18,(Datos!L18+Datos!AF18-(Datos!V18+Datos!AN18))/(Datos!V18+Datos!AN18))," - ")</f>
        <v>0.2517403574788335</v>
      </c>
      <c r="F18" s="855">
        <f>IF(ISNUMBER((Datos!M18-Datos!W18)/Datos!W18),(Datos!M18-Datos!W18)/Datos!W18," - ")</f>
        <v>-0.1873015873015873</v>
      </c>
      <c r="G18" s="856">
        <f>IF(ISNUMBER((Datos!N18-Datos!X18)/Datos!X18),(Datos!N18-Datos!X18)/Datos!X18," - ")</f>
        <v>-0.13284132841328414</v>
      </c>
      <c r="H18" s="856">
        <f>IF(ISNUMBER(((NºAsuntos!G18/NºAsuntos!E18)-Datos!BD18)/Datos!BD18),((NºAsuntos!G18/NºAsuntos!E18)-Datos!BD18)/Datos!BD18," - ")</f>
        <v>-0.13525372617411344</v>
      </c>
      <c r="I18" s="856">
        <f>IF(ISNUMBER(((NºAsuntos!I18/NºAsuntos!G18)-Datos!BE18)/Datos!BE18),((NºAsuntos!I18/NºAsuntos!G18)-Datos!BE18)/Datos!BE18," - ")</f>
        <v>0.55878160211601824</v>
      </c>
      <c r="J18" s="856">
        <f>IF(ISNUMBER((('Resol  Asuntos'!D18/NºAsuntos!G18)-Datos!BF18)/Datos!BF18),(('Resol  Asuntos'!D18/NºAsuntos!G18)-Datos!BF18)/Datos!BF18," - ")</f>
        <v>1.2046408997081625E-2</v>
      </c>
      <c r="K18" s="856">
        <f>IF(ISNUMBER((((NºAsuntos!C18+NºAsuntos!E18)/NºAsuntos!G18)-Datos!BG18)/Datos!BG18),(((NºAsuntos!C18+NºAsuntos!E18)/NºAsuntos!G18)-Datos!BG18)/Datos!BG18," - ")</f>
        <v>0.39373886564311145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0.13189296053096095</v>
      </c>
      <c r="C19" s="801">
        <f>IF(ISNUMBER(
   IF(J_V="SI",(Datos!J19-Datos!T19)/Datos!T19,(Datos!J19+Datos!Z19-(Datos!T19+Datos!AH19))/(Datos!T19+Datos!AH19))
     ),IF(J_V="SI",(Datos!J19-Datos!T19)/Datos!T19,(Datos!J19+Datos!Z19-(Datos!T19+Datos!AH19))/(Datos!T19+Datos!AH19))," - ")</f>
        <v>-0.14068510716248397</v>
      </c>
      <c r="D19" s="801">
        <f>IF(ISNUMBER(
   IF(J_V="SI",(Datos!K19-Datos!U19)/Datos!U19,(Datos!K19+Datos!AA19-(Datos!U19+Datos!AI19))/(Datos!U19+Datos!AI19))
     ),IF(J_V="SI",(Datos!K19-Datos!U19)/Datos!U19,(Datos!K19+Datos!AA19-(Datos!U19+Datos!AI19))/(Datos!U19+Datos!AI19))," - ")</f>
        <v>-7.3439878234398778E-2</v>
      </c>
      <c r="E19" s="801">
        <f>IF(ISNUMBER(
   IF(J_V="SI",(Datos!L19-Datos!V19)/Datos!V19,(Datos!L19+Datos!AB19-(Datos!V19+Datos!AJ19))/(Datos!V19+Datos!AJ19))
     ),IF(J_V="SI",(Datos!L19-Datos!V19)/Datos!V19,(Datos!L19+Datos!AB19-(Datos!V19+Datos!AJ19))/(Datos!V19+Datos!AJ19))," - ")</f>
        <v>9.1395607450653324E-2</v>
      </c>
      <c r="F19" s="802">
        <f>IF(ISNUMBER((Datos!M19-Datos!W19)/Datos!W19),(Datos!M19-Datos!W19)/Datos!W19," - ")</f>
        <v>6.7491563554555678E-3</v>
      </c>
      <c r="G19" s="803">
        <f>IF(ISNUMBER((Datos!N19-Datos!X19)/Datos!X19),(Datos!N19-Datos!X19)/Datos!X19," - ")</f>
        <v>0.1462467644521139</v>
      </c>
      <c r="H19" s="804">
        <f>IF(ISNUMBER((Tasas!B19-Datos!BD19)/Datos!BD19),(Tasas!B19-Datos!BD19)/Datos!BD19," - ")</f>
        <v>7.8254467004565537E-2</v>
      </c>
      <c r="I19" s="805">
        <f>IF(ISNUMBER((Tasas!C19-Datos!BE19)/Datos!BE19),(Tasas!C19-Datos!BE19)/Datos!BE19," - ")</f>
        <v>0.17790047489951402</v>
      </c>
      <c r="J19" s="806">
        <f>IF(ISNUMBER((Tasas!D19-Datos!BF19)/Datos!BF19),(Tasas!D19-Datos!BF19)/Datos!BF19," - ")</f>
        <v>-3.6950749394526923E-2</v>
      </c>
      <c r="K19" s="806">
        <f>IF(ISNUMBER((Tasas!E19-Datos!BG19)/Datos!BG19),(Tasas!E19-Datos!BG19)/Datos!BG19," - ")</f>
        <v>0.13976362700627079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RlV/hRYU9s2CdB8zvYRv5l/+rK9LfXzG5Mf2CgsRQ54bR4ZSpFDzWuk+utHlCS1AnbiKwgtUnFsM6G8/dw9dQ==" saltValue="qLJHZNl+xrRBy79D4ue2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VENDRELL, EL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0.81818181818181823</v>
      </c>
      <c r="C10" s="442">
        <f>IF(ISNUMBER(NºAsuntos!I10/NºAsuntos!G10),NºAsuntos!I10/NºAsuntos!G10," - ")</f>
        <v>2.6666666666666665</v>
      </c>
      <c r="D10" s="443">
        <f>IF(ISNUMBER('Resol  Asuntos'!D10/NºAsuntos!G10),'Resol  Asuntos'!D10/NºAsuntos!G10," - ")</f>
        <v>0.33333333333333331</v>
      </c>
      <c r="E10" s="444">
        <f>IF(ISNUMBER((NºAsuntos!C10+NºAsuntos!E10)/NºAsuntos!G10),(NºAsuntos!C10+NºAsuntos!E10)/NºAsuntos!G10," - ")</f>
        <v>3.6666666666666665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1.2044403330249769</v>
      </c>
      <c r="C12" s="442">
        <f>IF(ISNUMBER(NºAsuntos!I12/NºAsuntos!G12),NºAsuntos!I12/NºAsuntos!G12," - ")</f>
        <v>3.4385560675883258</v>
      </c>
      <c r="D12" s="443">
        <f>IF(ISNUMBER('Resol  Asuntos'!D12/NºAsuntos!G12),'Resol  Asuntos'!D12/NºAsuntos!G12," - ")</f>
        <v>0.24078341013824886</v>
      </c>
      <c r="E12" s="444">
        <f>IF(ISNUMBER((NºAsuntos!C12+NºAsuntos!E12)/NºAsuntos!G12),(NºAsuntos!C12+NºAsuntos!E12)/NºAsuntos!G12," - ")</f>
        <v>4.4385560675883253</v>
      </c>
      <c r="G12" s="462"/>
    </row>
    <row r="13" spans="1:7" ht="14.25" thickTop="1" thickBot="1">
      <c r="A13" s="847" t="str">
        <f>Datos!A13</f>
        <v>TOTAL</v>
      </c>
      <c r="B13" s="857">
        <f>IF(ISNUMBER(NºAsuntos!G13/NºAsuntos!E13),NºAsuntos!G13/NºAsuntos!E13," - ")</f>
        <v>1.1967361740707163</v>
      </c>
      <c r="C13" s="858">
        <f>IF(ISNUMBER(NºAsuntos!I13/NºAsuntos!G13),NºAsuntos!I13/NºAsuntos!G13," - ")</f>
        <v>3.4280303030303032</v>
      </c>
      <c r="D13" s="859">
        <f>IF(ISNUMBER('Resol  Asuntos'!D13/NºAsuntos!G13),'Resol  Asuntos'!D13/NºAsuntos!G13," - ")</f>
        <v>0.24204545454545454</v>
      </c>
      <c r="E13" s="860">
        <f>IF(ISNUMBER((NºAsuntos!C13+NºAsuntos!E13)/NºAsuntos!G13),(NºAsuntos!C13+NºAsuntos!E13)/NºAsuntos!G13," - ")</f>
        <v>4.4280303030303028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0.88263525305410118</v>
      </c>
      <c r="C16" s="442">
        <f>IF(ISNUMBER(NºAsuntos!I16/NºAsuntos!G16),NºAsuntos!I16/NºAsuntos!G16," - ")</f>
        <v>3.2535837864557586</v>
      </c>
      <c r="D16" s="443">
        <f>IF(ISNUMBER('Resol  Asuntos'!D16/NºAsuntos!G16),'Resol  Asuntos'!D16/NºAsuntos!G16," - ")</f>
        <v>0.11468116658428078</v>
      </c>
      <c r="E16" s="444">
        <f>IF(ISNUMBER((NºAsuntos!C16+NºAsuntos!E16)/NºAsuntos!G16),(NºAsuntos!C16+NºAsuntos!E16)/NºAsuntos!G16," - ")</f>
        <v>4.3302026693030156</v>
      </c>
      <c r="G16" s="462"/>
    </row>
    <row r="17" spans="1:7" ht="21.75" thickBot="1">
      <c r="A17" s="401" t="str">
        <f>Datos!A17</f>
        <v>Jdos. Violencia contra la mujer/Secc Viol. TI.</v>
      </c>
      <c r="B17" s="441">
        <f>IF(ISNUMBER(NºAsuntos!G17/NºAsuntos!E17),NºAsuntos!G17/NºAsuntos!E17," - ")</f>
        <v>1.072538860103627</v>
      </c>
      <c r="C17" s="442">
        <f>IF(ISNUMBER(NºAsuntos!I17/NºAsuntos!G17),NºAsuntos!I17/NºAsuntos!G17," - ")</f>
        <v>0.34299516908212563</v>
      </c>
      <c r="D17" s="443">
        <f>IF(ISNUMBER('Resol  Asuntos'!D17/NºAsuntos!G17),'Resol  Asuntos'!D17/NºAsuntos!G17," - ")</f>
        <v>0.11594202898550725</v>
      </c>
      <c r="E17" s="444">
        <f>IF(ISNUMBER((NºAsuntos!C17+NºAsuntos!E17)/NºAsuntos!G17),(NºAsuntos!C17+NºAsuntos!E17)/NºAsuntos!G17," - ")</f>
        <v>1.3140096618357489</v>
      </c>
      <c r="G17" s="462"/>
    </row>
    <row r="18" spans="1:7" ht="14.25" thickTop="1" thickBot="1">
      <c r="A18" s="847" t="str">
        <f>Datos!A18</f>
        <v>TOTAL</v>
      </c>
      <c r="B18" s="857">
        <f>IF(ISNUMBER(NºAsuntos!G18/NºAsuntos!E18),NºAsuntos!G18/NºAsuntos!E18," - ")</f>
        <v>0.89738430583501005</v>
      </c>
      <c r="C18" s="858">
        <f>IF(ISNUMBER(NºAsuntos!I18/NºAsuntos!G18),NºAsuntos!I18/NºAsuntos!G18," - ")</f>
        <v>2.9834080717488791</v>
      </c>
      <c r="D18" s="861">
        <f>IF(ISNUMBER('Resol  Asuntos'!D18/NºAsuntos!G18),'Resol  Asuntos'!D18/NºAsuntos!G18," - ")</f>
        <v>0.11479820627802691</v>
      </c>
      <c r="E18" s="860">
        <f>IF(ISNUMBER((NºAsuntos!C18+NºAsuntos!E18)/NºAsuntos!G18),(NºAsuntos!C18+NºAsuntos!E18)/NºAsuntos!G18," - ")</f>
        <v>4.0502242152466366</v>
      </c>
      <c r="G18" s="462"/>
    </row>
    <row r="19" spans="1:7" ht="15.75" customHeight="1" thickTop="1" thickBot="1">
      <c r="A19" s="792" t="str">
        <f>Datos!A19</f>
        <v>TOTAL JURISDICCIONES</v>
      </c>
      <c r="B19" s="807">
        <f>IF(ISNUMBER(NºAsuntos!G19/NºAsuntos!E19),NºAsuntos!G19/NºAsuntos!E19," - ")</f>
        <v>1.0381581752291622</v>
      </c>
      <c r="C19" s="808">
        <f>IF(ISNUMBER(NºAsuntos!I19/NºAsuntos!G19),NºAsuntos!I19/NºAsuntos!G19," - ")</f>
        <v>3.2244353182751539</v>
      </c>
      <c r="D19" s="809">
        <f>IF(ISNUMBER('Resol  Asuntos'!D19/NºAsuntos!G19),'Resol  Asuntos'!D19/NºAsuntos!G19," - ")</f>
        <v>0.1837782340862423</v>
      </c>
      <c r="E19" s="810">
        <f>IF(ISNUMBER((NºAsuntos!C19+NºAsuntos!E19)/NºAsuntos!G19),(NºAsuntos!C19+NºAsuntos!E19)/NºAsuntos!G19," - ")</f>
        <v>4.2550308008213555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7dqSwzvYTjSYABhMRUq2OysnYWicPBWNQLkJAaHCCJHIiqYtocb/QuS1LOUVHtnPyTOY8H2dpq4g6JjYJ0/6A==" saltValue="ftVNKWYGLq3bZonfS9yo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VENDRELL,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88</v>
      </c>
      <c r="G10" s="332">
        <f>IF(ISNUMBER(Datos!I10),Datos!I10," - ")</f>
        <v>88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5</v>
      </c>
      <c r="Y10" s="333">
        <f t="shared" ref="Y10:Y12" si="0">SUM(W10:X10)</f>
        <v>41</v>
      </c>
      <c r="Z10" s="334" t="str">
        <f>IF(ISNUMBER(Datos!CC10),Datos!CC10," - ")</f>
        <v xml:space="preserve"> - </v>
      </c>
      <c r="AA10" s="331">
        <f>IF(ISNUMBER(Datos!L10),Datos!L10,"-")</f>
        <v>96</v>
      </c>
      <c r="AB10" s="333">
        <f>IF(ISNUMBER(Datos!R10),Datos!R10," - ")</f>
        <v>136</v>
      </c>
      <c r="AC10" s="333">
        <f t="shared" ref="AC10:AC12" si="1">IF(ISNUMBER(AA10+AB10),AA10+AB10," - ")</f>
        <v>232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0.81818181818181823</v>
      </c>
      <c r="AM10" s="259">
        <f>IF(ISNUMBER(((NºAsuntos!I10/NºAsuntos!G10)*11)/factor_trimestre),((NºAsuntos!I10/NºAsuntos!G10)*11)/factor_trimestre," - ")</f>
        <v>8</v>
      </c>
      <c r="AN10" s="243">
        <f>IF(ISNUMBER('Resol  Asuntos'!D10/NºAsuntos!G10),'Resol  Asuntos'!D10/NºAsuntos!G10," - ")</f>
        <v>0.33333333333333331</v>
      </c>
      <c r="AO10" s="244">
        <f>IF(ISNUMBER((NºAsuntos!C10+NºAsuntos!E10)/NºAsuntos!G10),(NºAsuntos!C10+NºAsuntos!E10)/NºAsuntos!G10," - ")</f>
        <v>3.6666666666666665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716</v>
      </c>
      <c r="Y12" s="333">
        <f t="shared" si="0"/>
        <v>716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16483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627</v>
      </c>
      <c r="AJ12" s="228" t="str">
        <f>IF(ISNUMBER(Datos!BW12),Datos!BW12," - ")</f>
        <v xml:space="preserve"> - </v>
      </c>
      <c r="AK12" s="227" t="str">
        <f>IF(ISNUMBER(Datos!BX12),Datos!BX12," - ")</f>
        <v xml:space="preserve"> - </v>
      </c>
      <c r="AL12" s="242">
        <f>IF(ISNUMBER(NºAsuntos!G12/NºAsuntos!E12),NºAsuntos!G12/NºAsuntos!E12," - ")</f>
        <v>1.2044403330249769</v>
      </c>
      <c r="AM12" s="259">
        <f>IF(ISNUMBER(((NºAsuntos!I12/NºAsuntos!G12)*11)/factor_trimestre),((NºAsuntos!I12/NºAsuntos!G12)*11)/factor_trimestre," - ")</f>
        <v>10.315668202764979</v>
      </c>
      <c r="AN12" s="243">
        <f>IF(ISNUMBER('Resol  Asuntos'!D12/NºAsuntos!G12),'Resol  Asuntos'!D12/NºAsuntos!G12," - ")</f>
        <v>0.24078341013824886</v>
      </c>
      <c r="AO12" s="244">
        <f>IF(ISNUMBER((NºAsuntos!C12+NºAsuntos!E12)/NºAsuntos!G12),(NºAsuntos!C12+NºAsuntos!E12)/NºAsuntos!G12," - ")</f>
        <v>4.4385560675883253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88</v>
      </c>
      <c r="G13" s="865">
        <f t="shared" si="3"/>
        <v>88</v>
      </c>
      <c r="H13" s="864">
        <f t="shared" si="3"/>
        <v>0</v>
      </c>
      <c r="I13" s="866">
        <f t="shared" si="3"/>
        <v>0</v>
      </c>
      <c r="J13" s="866">
        <f t="shared" si="3"/>
        <v>0</v>
      </c>
      <c r="K13" s="866">
        <f t="shared" si="3"/>
        <v>0</v>
      </c>
      <c r="L13" s="866">
        <f t="shared" si="3"/>
        <v>1075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721</v>
      </c>
      <c r="Y13" s="867">
        <f t="shared" si="4"/>
        <v>757</v>
      </c>
      <c r="Z13" s="867">
        <f t="shared" si="4"/>
        <v>0</v>
      </c>
      <c r="AA13" s="867">
        <f t="shared" si="4"/>
        <v>96</v>
      </c>
      <c r="AB13" s="867">
        <f t="shared" si="4"/>
        <v>16619</v>
      </c>
      <c r="AC13" s="867">
        <f t="shared" si="4"/>
        <v>232</v>
      </c>
      <c r="AD13" s="867">
        <f t="shared" si="4"/>
        <v>0</v>
      </c>
      <c r="AE13" s="871">
        <f t="shared" si="4"/>
        <v>0</v>
      </c>
      <c r="AF13" s="864">
        <f t="shared" si="4"/>
        <v>0</v>
      </c>
      <c r="AG13" s="872">
        <f t="shared" si="4"/>
        <v>0</v>
      </c>
      <c r="AH13" s="869">
        <f t="shared" si="4"/>
        <v>0</v>
      </c>
      <c r="AI13" s="864">
        <f t="shared" si="4"/>
        <v>639</v>
      </c>
      <c r="AJ13" s="866">
        <f t="shared" si="4"/>
        <v>0</v>
      </c>
      <c r="AK13" s="869">
        <f>SUBTOTAL(9,AK9:AK12)</f>
        <v>0</v>
      </c>
      <c r="AL13" s="873">
        <f>IF(ISNUMBER(NºAsuntos!G13/NºAsuntos!E13),NºAsuntos!G13/NºAsuntos!E13," - ")</f>
        <v>1.1967361740707163</v>
      </c>
      <c r="AM13" s="873">
        <f>IF(ISNUMBER(((NºAsuntos!I13/NºAsuntos!G13)*11)/factor_trimestre),((NºAsuntos!I13/NºAsuntos!G13)*11)/factor_trimestre," - ")</f>
        <v>10.28409090909091</v>
      </c>
      <c r="AN13" s="874">
        <f>IF(ISNUMBER('Resol  Asuntos'!D13/NºAsuntos!G13),'Resol  Asuntos'!D13/NºAsuntos!G13," - ")</f>
        <v>0.24204545454545454</v>
      </c>
      <c r="AO13" s="875">
        <f>IF(ISNUMBER((NºAsuntos!C13+NºAsuntos!E13)/NºAsuntos!G13),(NºAsuntos!C13+NºAsuntos!E13)/NºAsuntos!G13," - ")</f>
        <v>4.4280303030303028</v>
      </c>
      <c r="AP13" s="876" t="str">
        <f t="shared" si="2"/>
        <v xml:space="preserve"> - </v>
      </c>
      <c r="AQ13" s="876">
        <f>IF(ISNUMBER((H13-W13+K13)/(F13)),(H13-W13+K13)/(F13)," - ")</f>
        <v>-0.40909090909090912</v>
      </c>
      <c r="AR13" s="877">
        <f>IF(ISNUMBER((Datos!P13-Datos!Q13)/(Datos!R13-Datos!P13+Datos!Q13)),(Datos!P13-Datos!Q13)/(Datos!R13-Datos!P13+Datos!Q13)," - ")</f>
        <v>2.1764525053796495E-2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6313</v>
      </c>
      <c r="G16" s="332">
        <f>IF(ISNUMBER(IF(D_I="SI",Datos!I16,Datos!I16+Datos!AC16)),IF(D_I="SI",Datos!I16,Datos!I16+Datos!AC16)," - ")</f>
        <v>6468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2023</v>
      </c>
      <c r="X16" s="225">
        <f>IF(ISNUMBER(Datos!Q16),Datos!Q16," - ")</f>
        <v>23</v>
      </c>
      <c r="Y16" s="333">
        <f t="shared" ref="Y16:Y17" si="7">SUM(W16:X16)</f>
        <v>2046</v>
      </c>
      <c r="Z16" s="334" t="str">
        <f>IF(ISNUMBER(Datos!CC16),Datos!CC16," - ")</f>
        <v xml:space="preserve"> - </v>
      </c>
      <c r="AA16" s="331">
        <f>IF(ISNUMBER(IF(D_I="SI",Datos!L16,Datos!L16+Datos!AF16)),IF(D_I="SI",Datos!L16,Datos!L16+Datos!AF16)," - ")</f>
        <v>6582</v>
      </c>
      <c r="AB16" s="333">
        <f>IF(ISNUMBER(Datos!R16),Datos!R16," - ")</f>
        <v>371</v>
      </c>
      <c r="AC16" s="333">
        <f t="shared" si="6"/>
        <v>6953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232</v>
      </c>
      <c r="AJ16" s="230" t="str">
        <f>IF(ISNUMBER(Datos!BW16),Datos!BW16," - ")</f>
        <v xml:space="preserve"> - </v>
      </c>
      <c r="AK16" s="231" t="str">
        <f>IF(ISNUMBER(Datos!BX16),Datos!BX16," - ")</f>
        <v xml:space="preserve"> - </v>
      </c>
      <c r="AL16" s="242">
        <f>IF(ISNUMBER(NºAsuntos!G16/NºAsuntos!E16),NºAsuntos!G16/NºAsuntos!E16," - ")</f>
        <v>0.88263525305410118</v>
      </c>
      <c r="AM16" s="259">
        <f>IF(ISNUMBER(((NºAsuntos!I16/NºAsuntos!G16)*11)/factor_trimestre),((NºAsuntos!I16/NºAsuntos!G16)*11)/factor_trimestre," - ")</f>
        <v>9.7607513593672746</v>
      </c>
      <c r="AN16" s="243">
        <f>IF(ISNUMBER('Resol  Asuntos'!D16/NºAsuntos!G16),'Resol  Asuntos'!D16/NºAsuntos!G16," - ")</f>
        <v>0.11468116658428078</v>
      </c>
      <c r="AO16" s="244">
        <f>IF(ISNUMBER((NºAsuntos!C16+NºAsuntos!E16)/NºAsuntos!G16),(NºAsuntos!C16+NºAsuntos!E16)/NºAsuntos!G16," - ")</f>
        <v>4.3302026693030156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207</v>
      </c>
      <c r="X17" s="225">
        <f>IF(ISNUMBER(Datos!Q17),Datos!Q17," - ")</f>
        <v>1</v>
      </c>
      <c r="Y17" s="333">
        <f t="shared" si="7"/>
        <v>208</v>
      </c>
      <c r="Z17" s="334" t="str">
        <f>IF(ISNUMBER(Datos!CC17),Datos!CC17," - ")</f>
        <v xml:space="preserve"> - </v>
      </c>
      <c r="AA17" s="331">
        <f>IF(ISNUMBER(Datos!L17),Datos!L17,"-")</f>
        <v>71</v>
      </c>
      <c r="AB17" s="333">
        <f>IF(ISNUMBER(Datos!R17),Datos!R17," - ")</f>
        <v>0</v>
      </c>
      <c r="AC17" s="333">
        <f t="shared" si="6"/>
        <v>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1.072538860103627</v>
      </c>
      <c r="AM17" s="259">
        <f>IF(ISNUMBER(((NºAsuntos!I17/NºAsuntos!G17)*11)/factor_trimestre),((NºAsuntos!I17/NºAsuntos!G17)*11)/factor_trimestre," - ")</f>
        <v>1.0289855072463769</v>
      </c>
      <c r="AN17" s="243">
        <f>IF(ISNUMBER('Resol  Asuntos'!D17/NºAsuntos!G17),'Resol  Asuntos'!D17/NºAsuntos!G17," - ")</f>
        <v>0.11594202898550725</v>
      </c>
      <c r="AO17" s="244">
        <f>IF(ISNUMBER((NºAsuntos!C17+NºAsuntos!E17)/NºAsuntos!G17),(NºAsuntos!C17+NºAsuntos!E17)/NºAsuntos!G17," - ")</f>
        <v>1.3140096618357489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10</v>
      </c>
      <c r="F18" s="864">
        <f>SUBTOTAL(9,F14:F17)</f>
        <v>6313</v>
      </c>
      <c r="G18" s="865">
        <f>SUBTOTAL(9,G15:G17)</f>
        <v>6547</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2230</v>
      </c>
      <c r="X18" s="866">
        <f t="shared" si="11"/>
        <v>24</v>
      </c>
      <c r="Y18" s="867">
        <f t="shared" si="11"/>
        <v>2254</v>
      </c>
      <c r="Z18" s="867">
        <f t="shared" si="11"/>
        <v>0</v>
      </c>
      <c r="AA18" s="867">
        <f t="shared" si="11"/>
        <v>6653</v>
      </c>
      <c r="AB18" s="867">
        <f t="shared" si="11"/>
        <v>371</v>
      </c>
      <c r="AC18" s="867">
        <f t="shared" si="11"/>
        <v>7024</v>
      </c>
      <c r="AD18" s="867">
        <f t="shared" si="11"/>
        <v>0</v>
      </c>
      <c r="AE18" s="871">
        <f t="shared" si="11"/>
        <v>0</v>
      </c>
      <c r="AF18" s="864">
        <f t="shared" si="11"/>
        <v>0</v>
      </c>
      <c r="AG18" s="872">
        <f t="shared" si="11"/>
        <v>0</v>
      </c>
      <c r="AH18" s="869">
        <f t="shared" si="11"/>
        <v>0</v>
      </c>
      <c r="AI18" s="864">
        <f t="shared" si="11"/>
        <v>256</v>
      </c>
      <c r="AJ18" s="866">
        <f t="shared" si="11"/>
        <v>0</v>
      </c>
      <c r="AK18" s="869">
        <f t="shared" si="11"/>
        <v>0</v>
      </c>
      <c r="AL18" s="873">
        <f>IF(ISNUMBER(NºAsuntos!G18/NºAsuntos!E18),NºAsuntos!G18/NºAsuntos!E18," - ")</f>
        <v>0.89738430583501005</v>
      </c>
      <c r="AM18" s="873">
        <f>IF(ISNUMBER(((NºAsuntos!I18/NºAsuntos!G18)*11)/factor_trimestre),((NºAsuntos!I18/NºAsuntos!G18)*11)/factor_trimestre," - ")</f>
        <v>8.9502242152466387</v>
      </c>
      <c r="AN18" s="874">
        <f>IF(ISNUMBER('Resol  Asuntos'!D18/NºAsuntos!G18),'Resol  Asuntos'!D18/NºAsuntos!G18," - ")</f>
        <v>0.11479820627802691</v>
      </c>
      <c r="AO18" s="875">
        <f>IF(ISNUMBER((NºAsuntos!C18+NºAsuntos!E18)/NºAsuntos!G18),(NºAsuntos!C18+NºAsuntos!E18)/NºAsuntos!G18," - ")</f>
        <v>4.0502242152466366</v>
      </c>
      <c r="AP18" s="876" t="str">
        <f t="shared" si="2"/>
        <v xml:space="preserve"> - </v>
      </c>
      <c r="AQ18" s="876">
        <f>IF(ISNUMBER((H18-W18+K18)/(F18)),(H18-W18+K18)/(F18)," - ")</f>
        <v>-0.35323934737842549</v>
      </c>
      <c r="AR18" s="877">
        <f>IF(ISNUMBER((Datos!P18-Datos!Q18)/(Datos!R18-Datos!P18+Datos!Q18)),(Datos!P18-Datos!Q18)/(Datos!R18-Datos!P18+Datos!Q18)," - ")</f>
        <v>1.643835616438356E-2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6401</v>
      </c>
      <c r="G19" s="820">
        <f t="shared" si="13"/>
        <v>6635</v>
      </c>
      <c r="H19" s="819">
        <f t="shared" si="13"/>
        <v>0</v>
      </c>
      <c r="I19" s="821">
        <f t="shared" si="13"/>
        <v>0</v>
      </c>
      <c r="J19" s="821">
        <f t="shared" si="13"/>
        <v>0</v>
      </c>
      <c r="K19" s="880">
        <f t="shared" si="13"/>
        <v>0</v>
      </c>
      <c r="L19" s="821">
        <f t="shared" si="13"/>
        <v>1105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2266</v>
      </c>
      <c r="X19" s="820">
        <f t="shared" si="14"/>
        <v>745</v>
      </c>
      <c r="Y19" s="827">
        <f t="shared" si="14"/>
        <v>3011</v>
      </c>
      <c r="Z19" s="827">
        <f t="shared" si="14"/>
        <v>0</v>
      </c>
      <c r="AA19" s="827">
        <f t="shared" si="14"/>
        <v>6749</v>
      </c>
      <c r="AB19" s="827">
        <f t="shared" si="14"/>
        <v>16990</v>
      </c>
      <c r="AC19" s="827">
        <f t="shared" si="14"/>
        <v>7256</v>
      </c>
      <c r="AD19" s="827">
        <f t="shared" si="14"/>
        <v>0</v>
      </c>
      <c r="AE19" s="829">
        <f t="shared" si="14"/>
        <v>0</v>
      </c>
      <c r="AF19" s="830">
        <f t="shared" si="14"/>
        <v>0</v>
      </c>
      <c r="AG19" s="831">
        <f t="shared" si="14"/>
        <v>0</v>
      </c>
      <c r="AH19" s="829">
        <f t="shared" si="14"/>
        <v>0</v>
      </c>
      <c r="AI19" s="819">
        <f t="shared" si="14"/>
        <v>895</v>
      </c>
      <c r="AJ19" s="819">
        <f t="shared" si="14"/>
        <v>0</v>
      </c>
      <c r="AK19" s="829">
        <f t="shared" si="14"/>
        <v>0</v>
      </c>
      <c r="AL19" s="883">
        <f>IF(ISNUMBER(NºAsuntos!G19/NºAsuntos!E19),NºAsuntos!G19/NºAsuntos!E19," - ")</f>
        <v>1.0381581752291622</v>
      </c>
      <c r="AM19" s="884">
        <f>IF(ISNUMBER(((NºAsuntos!I19/NºAsuntos!G19)*11)/factor_trimestre),((NºAsuntos!I19/NºAsuntos!G19)*11)/factor_trimestre," - ")</f>
        <v>9.6733059548254623</v>
      </c>
      <c r="AN19" s="884">
        <f>IF(ISNUMBER('Resol  Asuntos'!D19/NºAsuntos!G19),'Resol  Asuntos'!D19/NºAsuntos!G19," - ")</f>
        <v>0.1837782340862423</v>
      </c>
      <c r="AO19" s="885">
        <f>IF(ISNUMBER((NºAsuntos!C19+NºAsuntos!E19)/NºAsuntos!G19),(NºAsuntos!C19+NºAsuntos!E19)/NºAsuntos!G19," - ")</f>
        <v>4.2550308008213555</v>
      </c>
      <c r="AP19" s="886" t="str">
        <f t="shared" si="2"/>
        <v xml:space="preserve"> - </v>
      </c>
      <c r="AQ19" s="887">
        <f>IF(OR(ISNUMBER(FIND("01",Criterios!A8,1)),ISNUMBER(FIND("02",Criterios!A8,1)),ISNUMBER(FIND("03",Criterios!A8,1)),ISNUMBER(FIND("04",Criterios!A8,1))),(I19-W19+K19)/(F19-K19),(H19-W19+K19)/(F19-K19))</f>
        <v>-0.35400718637712858</v>
      </c>
      <c r="AR19" s="888">
        <f>IF(ISNUMBER((Datos!P19-Datos!Q19)/(Datos!R19-Datos!P19+Datos!Q19)),(Datos!P19-Datos!Q19)/(Datos!R19-Datos!P19+Datos!Q19)," - ")</f>
        <v>2.164762477450391E-2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2654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4.8247049420433763</v>
      </c>
      <c r="F21" s="251">
        <f>IF(ISNUMBER(STDEV(F8:F18)),STDEV(F8:F18),"-")</f>
        <v>3594.0054257054203</v>
      </c>
      <c r="G21" s="252">
        <f>IF(ISNUMBER(STDEV(G8:G18)),STDEV(G8:G18),"-")</f>
        <v>3517.8609267564857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1118.3766360220513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278.39300757502275</v>
      </c>
      <c r="AJ21" s="251">
        <f t="shared" si="18"/>
        <v>0</v>
      </c>
      <c r="AK21" s="253">
        <f t="shared" si="18"/>
        <v>0</v>
      </c>
      <c r="AL21" s="248">
        <f t="shared" si="18"/>
        <v>0.16867908638420373</v>
      </c>
      <c r="AM21" s="249">
        <f t="shared" si="18"/>
        <v>3.5541066389428444</v>
      </c>
      <c r="AN21" s="249">
        <f t="shared" si="18"/>
        <v>9.2268419387776635E-2</v>
      </c>
      <c r="AO21" s="250">
        <f t="shared" si="18"/>
        <v>1.2074136666329918</v>
      </c>
      <c r="AP21" s="290" t="str">
        <f t="shared" si="18"/>
        <v>-</v>
      </c>
      <c r="AQ21" s="291">
        <f t="shared" si="18"/>
        <v>3.9493018026756109E-2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VycurkiVdM6CHDO71qQ9ITEPLgB2Aw6glH/Qp7sBC/q7H4xldIoUhQFv7RxRyNnpTLYaLPWbwdQ600Ye0OQkA==" saltValue="jQaRdtYor/4BlTwc6IGU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VENDRELL, EL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-9.2783505154639179E-2</v>
      </c>
      <c r="E10" s="347">
        <f>IF(ISNUMBER((Datos!J10-Datos!T10)/Datos!T10),(Datos!J10-Datos!T10)/Datos!T10," - ")</f>
        <v>-0.12</v>
      </c>
      <c r="F10" s="347">
        <f>IF(ISNUMBER((Datos!K10-Datos!U10)/Datos!U10),(Datos!K10-Datos!U10)/Datos!U10," - ")</f>
        <v>-0.33333333333333331</v>
      </c>
      <c r="G10" s="348">
        <f>IF(ISNUMBER((Datos!L10-Datos!V10)/Datos!V10),(Datos!L10-Datos!V10)/Datos!V10," - ")</f>
        <v>3.2258064516129031E-2</v>
      </c>
      <c r="H10" s="229">
        <f>IF(ISNUMBER((Datos!M10-Datos!W10)/Datos!W10),(Datos!M10-Datos!W10)/Datos!W10," - ")</f>
        <v>-0.29411764705882354</v>
      </c>
      <c r="I10" s="349">
        <f>IF(ISNUMBER((Tasas!C10-Datos!BE10)/Datos!BE10),(Tasas!C10-Datos!BE10)/Datos!BE10," - ")</f>
        <v>0.54838709677419339</v>
      </c>
      <c r="J10" s="348">
        <f>IF(ISNUMBER((Tasas!D10-Datos!BF10)/Datos!BF10),(Tasas!D10-Datos!BF10)/Datos!BF10," - ")</f>
        <v>5.8823529411764615E-2</v>
      </c>
      <c r="K10" s="350">
        <f>IF(ISNUMBER((Tasas!E10-Datos!BG10)/Datos!BG10),(Tasas!E10-Datos!BG10)/Datos!BG10," - ")</f>
        <v>0.34693877551020397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0.12567324955116696</v>
      </c>
      <c r="I12" s="349">
        <f>IF(ISNUMBER((Tasas!C12-Datos!BE12)/Datos!BE12),(Tasas!C12-Datos!BE12)/Datos!BE12," - ")</f>
        <v>-7.1436696670190467E-2</v>
      </c>
      <c r="J12" s="348">
        <f>IF(ISNUMBER((Tasas!D12-Datos!BF12)/Datos!BF12),(Tasas!D12-Datos!BF12)/Datos!BF12," - ")</f>
        <v>-0.12980660270454025</v>
      </c>
      <c r="K12" s="350">
        <f>IF(ISNUMBER((Tasas!E12-Datos!BG12)/Datos!BG12),(Tasas!E12-Datos!BG12)/Datos!BG12," - ")</f>
        <v>-5.6247394660088684E-2</v>
      </c>
      <c r="M12" t="e">
        <f>IF(Monitorios="SI",Datos!CE12,0)</f>
        <v>#REF!</v>
      </c>
      <c r="N12" t="e">
        <f>IF(Monitorios="SI",Datos!CF12,0)</f>
        <v>#REF!</v>
      </c>
      <c r="O12" t="e">
        <f>IF(Monitorios="SI",Datos!CG12,0)</f>
        <v>#REF!</v>
      </c>
      <c r="P12" t="e">
        <f>IF(Monitorios="SI",Datos!CH12,0)</f>
        <v>#REF!</v>
      </c>
      <c r="Q12">
        <f>IF(J_V="SI",0,Datos!AG12)</f>
        <v>165</v>
      </c>
      <c r="R12">
        <f>IF(J_V="SI",0,Datos!AH12)</f>
        <v>104</v>
      </c>
      <c r="S12">
        <f>IF(J_V="SI",0,Datos!AI12)</f>
        <v>113</v>
      </c>
      <c r="T12">
        <f>IF(J_V="SI",0,Datos!AJ12)</f>
        <v>156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0.1132404181184669</v>
      </c>
      <c r="I13" s="356">
        <f>IF(ISNUMBER((Tasas!C13-Datos!BE13)/Datos!BE13),(Tasas!C13-Datos!BE13)/Datos!BE13," - ")</f>
        <v>-6.3365246201683975E-2</v>
      </c>
      <c r="J13" s="354">
        <f>IF(ISNUMBER((Tasas!D13-Datos!BF13)/Datos!BF13),(Tasas!D13-Datos!BF13)/Datos!BF13," - ")</f>
        <v>-0.12786238107822406</v>
      </c>
      <c r="K13" s="357">
        <f>IF(ISNUMBER((Tasas!E13-Datos!BG13)/Datos!BG13),(Tasas!E13-Datos!BG13)/Datos!BG13," - ")</f>
        <v>-4.9767389091748597E-2</v>
      </c>
      <c r="M13" t="e">
        <f>IF(Monitorios="SI",Datos!CE13,0)</f>
        <v>#REF!</v>
      </c>
      <c r="N13" t="e">
        <f>IF(Monitorios="SI",Datos!CF13,0)</f>
        <v>#REF!</v>
      </c>
      <c r="O13" t="e">
        <f>IF(Monitorios="SI",Datos!CG13,0)</f>
        <v>#REF!</v>
      </c>
      <c r="P13" t="e">
        <f>IF(Monitorios="SI",Datos!CH13,0)</f>
        <v>#REF!</v>
      </c>
      <c r="Q13">
        <f>IF(J_V="SI",0,Datos!AG13)</f>
        <v>165</v>
      </c>
      <c r="R13">
        <f>IF(J_V="SI",0,Datos!AH13)</f>
        <v>104</v>
      </c>
      <c r="S13">
        <f>IF(J_V="SI",0,Datos!AI13)</f>
        <v>113</v>
      </c>
      <c r="T13">
        <f>IF(J_V="SI",0,Datos!AJ13)</f>
        <v>156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0.22314674735249621</v>
      </c>
      <c r="E16" s="347">
        <f>IF(ISNUMBER(
   IF(D_I="SI",(Datos!J16-Datos!T16)/Datos!T16,(Datos!J16+Datos!AD16-(Datos!T16+Datos!AL16))/(Datos!T16+Datos!AL16))
     ),IF(D_I="SI",(Datos!J16-Datos!T16)/Datos!T16,(Datos!J16+Datos!AD16-(Datos!T16+Datos!AL16))/(Datos!T16+Datos!AL16))," - ")</f>
        <v>-6.7155067155067152E-2</v>
      </c>
      <c r="F16" s="347">
        <f>IF(ISNUMBER(
   IF(D_I="SI",(Datos!K16-Datos!U16)/Datos!U16,(Datos!K16+Datos!AE16-(Datos!U16+Datos!AM16))/(Datos!U16+Datos!AM16))
     ),IF(D_I="SI",(Datos!K16-Datos!U16)/Datos!U16,(Datos!K16+Datos!AE16-(Datos!U16+Datos!AM16))/(Datos!U16+Datos!AM16))," - ")</f>
        <v>-0.20165745856353592</v>
      </c>
      <c r="G16" s="348">
        <f>IF(ISNUMBER(
   IF(D_I="SI",(Datos!L16-Datos!V16)/Datos!V16,(Datos!L16+Datos!AF16-(Datos!V16+Datos!AN16))/(Datos!V16+Datos!AN16))
     ),IF(D_I="SI",(Datos!L16-Datos!V16)/Datos!V16,(Datos!L16+Datos!AF16-(Datos!V16+Datos!AN16))/(Datos!V16+Datos!AN16))," - ")</f>
        <v>0.26019529006318209</v>
      </c>
      <c r="H16" s="229">
        <f>IF(ISNUMBER((Datos!M16-Datos!W16)/Datos!W16),(Datos!M16-Datos!W16)/Datos!W16," - ")</f>
        <v>-0.2292358803986711</v>
      </c>
      <c r="I16" s="349">
        <f>IF(ISNUMBER((Tasas!C16-Datos!BE16)/Datos!BE16),(Tasas!C16-Datos!BE16)/Datos!BE16," - ")</f>
        <v>0.57851451558087164</v>
      </c>
      <c r="J16" s="348">
        <f>IF(ISNUMBER((Tasas!D16-Datos!BF16)/Datos!BF16),(Tasas!D16-Datos!BF16)/Datos!BF16," - ")</f>
        <v>-3.4544597592799049E-2</v>
      </c>
      <c r="K16" s="350">
        <f>IF(ISNUMBER((Tasas!E16-Datos!BG16)/Datos!BG16),(Tasas!E16-Datos!BG16)/Datos!BG16," - ")</f>
        <v>0.41675062156408543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-0.25471698113207547</v>
      </c>
      <c r="E17" s="347">
        <f>IF(ISNUMBER(
   IF(D_I="SI",(Datos!J17-Datos!T17)/Datos!T17,(Datos!J17+Datos!AD17-(Datos!T17+Datos!AL17))/(Datos!T17+Datos!AL17))
     ),IF(D_I="SI",(Datos!J17-Datos!T17)/Datos!T17,(Datos!J17+Datos!AD17-(Datos!T17+Datos!AL17))/(Datos!T17+Datos!AL17))," - ")</f>
        <v>-0.11872146118721461</v>
      </c>
      <c r="F17" s="347">
        <f>IF(ISNUMBER(
   IF(D_I="SI",(Datos!K17-Datos!U17)/Datos!U17,(Datos!K17+Datos!AE17-(Datos!U17+Datos!AM17))/(Datos!U17+Datos!AM17))
     ),IF(D_I="SI",(Datos!K17-Datos!U17)/Datos!U17,(Datos!K17+Datos!AE17-(Datos!U17+Datos!AM17))/(Datos!U17+Datos!AM17))," - ")</f>
        <v>-0.14814814814814814</v>
      </c>
      <c r="G17" s="348">
        <f>IF(ISNUMBER(
   IF(D_I="SI",(Datos!L17-Datos!V17)/Datos!V17,(Datos!L17+Datos!AF17-(Datos!V17+Datos!AN17))/(Datos!V17+Datos!AN17))
     ),IF(D_I="SI",(Datos!L17-Datos!V17)/Datos!V17,(Datos!L17+Datos!AF17-(Datos!V17+Datos!AN17))/(Datos!V17+Datos!AN17))," - ")</f>
        <v>-0.22826086956521738</v>
      </c>
      <c r="H17" s="229">
        <f>IF(ISNUMBER((Datos!M17-Datos!W17)/Datos!W17),(Datos!M17-Datos!W17)/Datos!W17," - ")</f>
        <v>0.7142857142857143</v>
      </c>
      <c r="I17" s="349">
        <f>IF(ISNUMBER((Tasas!C17-Datos!BE17)/Datos!BE17),(Tasas!C17-Datos!BE17)/Datos!BE17," - ")</f>
        <v>-9.4045368620037734E-2</v>
      </c>
      <c r="J17" s="348">
        <f>IF(ISNUMBER((Tasas!D17-Datos!BF17)/Datos!BF17),(Tasas!D17-Datos!BF17)/Datos!BF17," - ")</f>
        <v>1.0124223602484472</v>
      </c>
      <c r="K17" s="350">
        <f>IF(ISNUMBER((Tasas!E17-Datos!BG17)/Datos!BG17),(Tasas!E17-Datos!BG17)/Datos!BG17," - ")</f>
        <v>-1.7525083612040099E-2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0.21375602521319986</v>
      </c>
      <c r="E18" s="353">
        <f>IF(ISNUMBER(
   IF(D_I="SI",(Datos!J18-Datos!T18)/Datos!T18,(Datos!J18+Datos!AD18-(Datos!T18+Datos!AL18))/(Datos!T18+Datos!AL18))
     ),IF(D_I="SI",(Datos!J18-Datos!T18)/Datos!T18,(Datos!J18+Datos!AD18-(Datos!T18+Datos!AL18))/(Datos!T18+Datos!AL18))," - ")</f>
        <v>-7.1375186846038857E-2</v>
      </c>
      <c r="F18" s="353">
        <f>IF(ISNUMBER(
   IF(D_I="SI",(Datos!K18-Datos!U18)/Datos!U18,(Datos!K18+Datos!AE18-(Datos!U18+Datos!AM18))/(Datos!U18+Datos!AM18))
     ),IF(D_I="SI",(Datos!K18-Datos!U18)/Datos!U18,(Datos!K18+Datos!AE18-(Datos!U18+Datos!AM18))/(Datos!U18+Datos!AM18))," - ")</f>
        <v>-0.19697515304285199</v>
      </c>
      <c r="G18" s="354">
        <f>IF(ISNUMBER(
   IF(D_I="SI",(Datos!L18-Datos!V18)/Datos!V18,(Datos!L18+Datos!AF18-(Datos!V18+Datos!AN18))/(Datos!V18+Datos!AN18))
     ),IF(D_I="SI",(Datos!L18-Datos!V18)/Datos!V18,(Datos!L18+Datos!AF18-(Datos!V18+Datos!AN18))/(Datos!V18+Datos!AN18))," - ")</f>
        <v>0.2517403574788335</v>
      </c>
      <c r="H18" s="355">
        <f>IF(ISNUMBER((Datos!M18-Datos!W18)/Datos!W18),(Datos!M18-Datos!W18)/Datos!W18," - ")</f>
        <v>-0.1873015873015873</v>
      </c>
      <c r="I18" s="356">
        <f>IF(ISNUMBER((Tasas!C18-Datos!BE18)/Datos!BE18),(Tasas!C18-Datos!BE18)/Datos!BE18," - ")</f>
        <v>0.55878160211601824</v>
      </c>
      <c r="J18" s="354">
        <f>IF(ISNUMBER((Tasas!D18-Datos!BF18)/Datos!BF18),(Tasas!D18-Datos!BF18)/Datos!BF18," - ")</f>
        <v>1.2046408997081625E-2</v>
      </c>
      <c r="K18" s="357">
        <f>IF(ISNUMBER((Tasas!E18-Datos!BG18)/Datos!BG18),(Tasas!E18-Datos!BG18)/Datos!BG18," - ")</f>
        <v>0.39373886564311145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0.13189296053096095</v>
      </c>
      <c r="E19" s="362">
        <f>IF(ISNUMBER(
   IF(J_V="SI",(Datos!J19-Datos!T19)/Datos!T19,(Datos!J19+Datos!Z19-(Datos!T19+Datos!AH19))/(Datos!T19+Datos!AH19))
     ),IF(J_V="SI",(Datos!J19-Datos!T19)/Datos!T19,(Datos!J19+Datos!Z19-(Datos!T19+Datos!AH19))/(Datos!T19+Datos!AH19))," - ")</f>
        <v>-0.14068510716248397</v>
      </c>
      <c r="F19" s="362">
        <f>IF(ISNUMBER(
   IF(J_V="SI",(Datos!K19-Datos!U19)/Datos!U19,(Datos!K19+Datos!AA19-(Datos!U19+Datos!AI19))/(Datos!U19+Datos!AI19))
     ),IF(J_V="SI",(Datos!K19-Datos!U19)/Datos!U19,(Datos!K19+Datos!AA19-(Datos!U19+Datos!AI19))/(Datos!U19+Datos!AI19))," - ")</f>
        <v>-7.3439878234398778E-2</v>
      </c>
      <c r="G19" s="363">
        <f>IF(ISNUMBER(
   IF(J_V="SI",(Datos!L19-Datos!V19)/Datos!V19,(Datos!L19+Datos!AB19-(Datos!V19+Datos!AJ19))/(Datos!V19+Datos!AJ19))
     ),IF(J_V="SI",(Datos!L19-Datos!V19)/Datos!V19,(Datos!L19+Datos!AB19-(Datos!V19+Datos!AJ19))/(Datos!V19+Datos!AJ19))," - ")</f>
        <v>9.1395607450653324E-2</v>
      </c>
      <c r="H19" s="364">
        <f>IF(ISNUMBER((Datos!M19-Datos!W19)/Datos!W19),(Datos!M19-Datos!W19)/Datos!W19," - ")</f>
        <v>6.7491563554555678E-3</v>
      </c>
      <c r="I19" s="361">
        <f>IF(ISNUMBER((Tasas!C19-Datos!BE19)/Datos!BE19),(Tasas!C19-Datos!BE19)/Datos!BE19," - ")</f>
        <v>0.17790047489951402</v>
      </c>
      <c r="J19" s="362">
        <f>IF(ISNUMBER((Tasas!D19-Datos!BF19)/Datos!BF19),(Tasas!D19-Datos!BF19)/Datos!BF19," - ")</f>
        <v>-3.6950749394526923E-2</v>
      </c>
      <c r="K19" s="363">
        <f>IF(ISNUMBER((Tasas!E19-Datos!BG19)/Datos!BG19),(Tasas!E19-Datos!BG19)/Datos!BG19," - ")</f>
        <v>0.13976362700627079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0.23592190535343593</v>
      </c>
      <c r="E21" s="277">
        <f t="shared" si="1"/>
        <v>2.8978679146362124E-2</v>
      </c>
      <c r="F21" s="277">
        <f t="shared" si="1"/>
        <v>7.9317341963417706E-2</v>
      </c>
      <c r="G21" s="278">
        <f t="shared" si="1"/>
        <v>0.23040906638282493</v>
      </c>
      <c r="H21" s="284">
        <f t="shared" si="1"/>
        <v>0.37500740875401894</v>
      </c>
      <c r="I21" s="276">
        <f t="shared" si="1"/>
        <v>0.34982245331717859</v>
      </c>
      <c r="J21" s="277">
        <f t="shared" si="1"/>
        <v>0.43788019094589548</v>
      </c>
      <c r="K21" s="278">
        <f t="shared" si="1"/>
        <v>0.23531739310218777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SAPNZU6U/PWxWgyxb1bsdlngP8FNMNl0ygCndLXOyGheYg7bYss6p44KximDfIN+KiPFH/0Mb2CdmRp2b/jqg==" saltValue="dzAaV6yBxzxOLwCq2aum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